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3400" windowHeight="9800" firstSheet="2" activeTab="2"/>
  </bookViews>
  <sheets>
    <sheet name="Rekapitulácia" sheetId="1" r:id="rId1"/>
    <sheet name="Krycí list stavby" sheetId="2" r:id="rId2"/>
    <sheet name="Kryci_list 15753" sheetId="3" r:id="rId3"/>
    <sheet name="Rekap 15753" sheetId="4" r:id="rId4"/>
    <sheet name="SO 15753" sheetId="5" r:id="rId5"/>
    <sheet name="Kryci_list 15761" sheetId="6" r:id="rId6"/>
    <sheet name="Rekap 15761" sheetId="7" r:id="rId7"/>
    <sheet name="SO 15761" sheetId="8" r:id="rId8"/>
  </sheets>
  <definedNames>
    <definedName name="_xlnm.Print_Titles" localSheetId="3">'Rekap 15753'!$9:$9</definedName>
    <definedName name="_xlnm.Print_Titles" localSheetId="6">'Rekap 15761'!$9:$9</definedName>
    <definedName name="_xlnm.Print_Titles" localSheetId="4">'SO 15753'!$8:$8</definedName>
    <definedName name="_xlnm.Print_Titles" localSheetId="7">'SO 15761'!$8:$8</definedName>
  </definedNames>
  <calcPr fullCalcOnLoad="1"/>
</workbook>
</file>

<file path=xl/sharedStrings.xml><?xml version="1.0" encoding="utf-8"?>
<sst xmlns="http://schemas.openxmlformats.org/spreadsheetml/2006/main" count="695" uniqueCount="229">
  <si>
    <t>Rekapitulácia rozpočtu</t>
  </si>
  <si>
    <t>Stavba FUTBAL TATRAN ARÉNA V PREŠOVE - GARÁŽE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</si>
  <si>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</si>
  <si>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</si>
  <si>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</si>
  <si>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</si>
  <si>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</si>
  <si>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</si>
  <si>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</si>
  <si>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</si>
  <si>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</si>
  <si>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</si>
  <si>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GARÁŽE TYPU A</t>
  </si>
  <si>
    <t>SO 01 GARÁŽE TYPU B</t>
  </si>
  <si>
    <t>Krycí list rozpočtu</t>
  </si>
  <si>
    <t>Miesto: PREŠOV</t>
  </si>
  <si>
    <t>Objekt SO 01 GARÁŽE TYPU A</t>
  </si>
  <si>
    <t xml:space="preserve">Ks: 1242 Garážové budovy                                                                                </t>
  </si>
  <si>
    <t xml:space="preserve">Zákazka: </t>
  </si>
  <si>
    <t xml:space="preserve">Spracoval: </t>
  </si>
  <si>
    <t xml:space="preserve">Dňa </t>
  </si>
  <si>
    <t>Odberateľ: FUTBAL TATRAN ARÉNA s.r.o.</t>
  </si>
  <si>
    <t xml:space="preserve">IČO: </t>
  </si>
  <si>
    <t xml:space="preserve">DIČ: </t>
  </si>
  <si>
    <t xml:space="preserve">Dodávateľ: </t>
  </si>
  <si>
    <t>Projektant: V.S.V. consulting SLOVAKIA, s.r.o.</t>
  </si>
  <si>
    <t>IČO: 36735841</t>
  </si>
  <si>
    <t>DIČ: 2022324381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</si>
  <si>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</si>
  <si>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</si>
  <si>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</si>
  <si>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</si>
  <si>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</si>
  <si>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</si>
  <si>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</si>
  <si>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</si>
  <si>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</si>
  <si>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</si>
  <si>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</si>
  <si>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</si>
  <si>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</si>
  <si>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</si>
  <si>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</si>
  <si>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</si>
  <si>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</si>
  <si>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</si>
  <si>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</si>
  <si>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</si>
  <si>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3% z [H+P+M]</t>
  </si>
  <si>
    <t>0% z [H+P]</t>
  </si>
  <si>
    <t>0% z [H+P+M]</t>
  </si>
  <si>
    <t>3%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</si>
  <si>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</si>
  <si>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</si>
  <si>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</si>
  <si>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</si>
  <si>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</si>
  <si>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</si>
  <si>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</si>
  <si>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</si>
  <si>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</si>
  <si>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</si>
  <si>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</si>
  <si>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</si>
  <si>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</si>
  <si>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</si>
  <si>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</si>
  <si>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</si>
  <si>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ZÁKLADY</t>
  </si>
  <si>
    <t>ZVISLÉ KONŠTRUKCIE</t>
  </si>
  <si>
    <t>OSTATNÉ PRÁCE</t>
  </si>
  <si>
    <t>PRESUNY HMÔT</t>
  </si>
  <si>
    <t>Práce PSV</t>
  </si>
  <si>
    <t>IZOLÁCIE PROTI VODE A VLHKOSTI</t>
  </si>
  <si>
    <t>KONŠTRUKCIE KLAMPIARSKE</t>
  </si>
  <si>
    <t>KOVOVÉ DOPLNKOVÉ KONŠTRUKCIE</t>
  </si>
  <si>
    <t>Montážne práce</t>
  </si>
  <si>
    <t>M-21 ELEKTROMONTÁŽE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</si>
  <si>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</si>
  <si>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</si>
  <si>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</si>
  <si>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</si>
  <si>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</si>
  <si>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</si>
  <si>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</si>
  <si>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</si>
  <si>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</si>
  <si>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</si>
  <si>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</si>
  <si>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122201101</t>
  </si>
  <si>
    <t>Odkopávka a prekopávka nezapažená v hornine 3, do 100 m3</t>
  </si>
  <si>
    <t>m3</t>
  </si>
  <si>
    <t xml:space="preserve"> 122201109</t>
  </si>
  <si>
    <t>Odkopávky a prekopávky nezapažené. Príplatok k cenám za lepivosť horniny 3</t>
  </si>
  <si>
    <t xml:space="preserve"> 162701105</t>
  </si>
  <si>
    <t>Vodorovné premiestnenie výkopku po spevnenej ceste, horniny tr.1-4 do 10000 m</t>
  </si>
  <si>
    <t xml:space="preserve"> 167101101</t>
  </si>
  <si>
    <t>Nakladanie neuľahnutého výkopku z hornín tr.1-4 do 100 m3</t>
  </si>
  <si>
    <t xml:space="preserve"> 171201201</t>
  </si>
  <si>
    <t>Uloženie sypaniny na skládky do 100 m3</t>
  </si>
  <si>
    <t xml:space="preserve"> 181101102</t>
  </si>
  <si>
    <t>Úprava pláne v zárezoch v hornine 1-4 so zhutnením</t>
  </si>
  <si>
    <t>m2</t>
  </si>
  <si>
    <t xml:space="preserve"> 979131415</t>
  </si>
  <si>
    <t>Poplatok za uloženie vykopanej zeminy</t>
  </si>
  <si>
    <t xml:space="preserve">  2/A 1</t>
  </si>
  <si>
    <t xml:space="preserve"> 289971211</t>
  </si>
  <si>
    <t>Zhotovenie vrstvy z geotextílie na upravenom povrchu v sklone do 1 : 5 , šírky od 0 do 3 m</t>
  </si>
  <si>
    <t xml:space="preserve"> 11/A 1</t>
  </si>
  <si>
    <t xml:space="preserve"> 271533001</t>
  </si>
  <si>
    <t>Násyp pod základové  konštrukcie so zhutnením z  kameniva hrubého drveného frakcie 32 až 64 mm</t>
  </si>
  <si>
    <t xml:space="preserve"> 273321311</t>
  </si>
  <si>
    <t xml:space="preserve">Betón základových dosiek, železový (bez výstuže), tr.C 16/20 </t>
  </si>
  <si>
    <t xml:space="preserve"> 273351217</t>
  </si>
  <si>
    <t>Debnenie základových dosiek, zhotovenie-tradičné</t>
  </si>
  <si>
    <t xml:space="preserve"> 273351218</t>
  </si>
  <si>
    <t>Debnenie základových dosiek, odstránenie-tradičné</t>
  </si>
  <si>
    <t xml:space="preserve"> 273362021</t>
  </si>
  <si>
    <t>Výstuž základových dosiek zo zvár. sietí typu KARI KH 20</t>
  </si>
  <si>
    <t>t</t>
  </si>
  <si>
    <t>P/P 1</t>
  </si>
  <si>
    <t xml:space="preserve"> 673062010106</t>
  </si>
  <si>
    <t>Geotextília 300g/m2, š.2m, návin 100m</t>
  </si>
  <si>
    <t xml:space="preserve">m2      </t>
  </si>
  <si>
    <t xml:space="preserve"> 12/A 2</t>
  </si>
  <si>
    <t xml:space="preserve"> 381122012</t>
  </si>
  <si>
    <t>Montáž radovej garáže, priestorový monolit vyrobený z betónu B 45 v jednom celku s podlahou šxdxv = 2,98x5,98x2,50 m</t>
  </si>
  <si>
    <t>kus</t>
  </si>
  <si>
    <t>S/S70</t>
  </si>
  <si>
    <t xml:space="preserve"> 59389020011</t>
  </si>
  <si>
    <t xml:space="preserve">Betónový prefabrikát radová garáž Typ 23, priestorový monolit z betónu B 45, rozmer šxdxv = 2,98x5,98x2,50 m, umyvateľná vnútorná maľba, vonkajšia omietka striekaná, štandartná farba biela, hydroizolácia strechy modifikované asfaltové pásy G 200 S4 </t>
  </si>
  <si>
    <t xml:space="preserve"> 931961115</t>
  </si>
  <si>
    <t>Zvislé vložky do dilatačných škár, z polystyrénovej dosky XPS hr. 20 mm</t>
  </si>
  <si>
    <t xml:space="preserve"> 952901111</t>
  </si>
  <si>
    <t>Vyčistenie budov pri výške podlaží do 4m</t>
  </si>
  <si>
    <t xml:space="preserve"> 998012021</t>
  </si>
  <si>
    <t>Presun hmôt pre budovy JKSO 801, 803,812,zvislá konštr.monolit.betónová výšky do 6 m</t>
  </si>
  <si>
    <t xml:space="preserve"> 998012038</t>
  </si>
  <si>
    <t>Príplatok za zväčšený presun nad vymedzenú najväčšiu dopravnú vzdialenosť do 5000 m</t>
  </si>
  <si>
    <t>711/A 1</t>
  </si>
  <si>
    <t xml:space="preserve"> 711111001</t>
  </si>
  <si>
    <t>Zhotovenie izolácie proti zemnej vlhkosti vodorovná náterom penetračným za studena</t>
  </si>
  <si>
    <t xml:space="preserve"> 711141559</t>
  </si>
  <si>
    <t>Zhotovenie  izolácie proti zemnej vlhkosti a tlakovej vode vodorovná NAIP pritavením</t>
  </si>
  <si>
    <t xml:space="preserve"> 998711201</t>
  </si>
  <si>
    <t>Presun hmôt pre izoláciu proti vode v objektoch výšky do 6 m</t>
  </si>
  <si>
    <t>%</t>
  </si>
  <si>
    <t>P/PE</t>
  </si>
  <si>
    <t xml:space="preserve"> 6283228200</t>
  </si>
  <si>
    <t>Pásy ťažké asfaltované typu Hydrobit v 60 s 35</t>
  </si>
  <si>
    <t>M2</t>
  </si>
  <si>
    <t xml:space="preserve"> S039300005</t>
  </si>
  <si>
    <t>Asfaltový lak typu  ALP penetral 3,5 kg</t>
  </si>
  <si>
    <t>KS</t>
  </si>
  <si>
    <t>S/S20</t>
  </si>
  <si>
    <t xml:space="preserve"> 2464203000</t>
  </si>
  <si>
    <t>Riedidlo do olejovo-syntetickej farby typu S 6006</t>
  </si>
  <si>
    <t>kg</t>
  </si>
  <si>
    <t>764/A 6</t>
  </si>
  <si>
    <t xml:space="preserve"> 764711115</t>
  </si>
  <si>
    <t>Oplechovanie dilatačnej škáry z LPL plechu rš 200 mm</t>
  </si>
  <si>
    <t>m</t>
  </si>
  <si>
    <t>764/A 7</t>
  </si>
  <si>
    <t xml:space="preserve"> 998764201</t>
  </si>
  <si>
    <t>Presun hmôt pre konštrukcie klampiarske v objektoch výšky do 6 m</t>
  </si>
  <si>
    <t>767/A 1</t>
  </si>
  <si>
    <t xml:space="preserve"> 767631101</t>
  </si>
  <si>
    <t>Montáž okna otvaravo sklopného šxv = 1,00x0,8 m</t>
  </si>
  <si>
    <t>ks</t>
  </si>
  <si>
    <t>767/A 3</t>
  </si>
  <si>
    <t xml:space="preserve"> 767658111</t>
  </si>
  <si>
    <t>Montáž vrát sekčných sklopných pod strop plochy do 6 m2</t>
  </si>
  <si>
    <t xml:space="preserve"> 998767201</t>
  </si>
  <si>
    <t>Presun hmôt pre kovové stavebné doplnkové konštrukcie v objektoch výšky do 6 m</t>
  </si>
  <si>
    <t xml:space="preserve"> Z220000997</t>
  </si>
  <si>
    <t>Sekčná brána typu Hormann LPU 40 farba RAL 9016</t>
  </si>
  <si>
    <t xml:space="preserve"> 283232110_1</t>
  </si>
  <si>
    <t>Automatický pohon brány typu Sommer Duo, samostatná riadiaca jednotka, 1x diaľkový ovládač</t>
  </si>
  <si>
    <t xml:space="preserve"> 6114111V01</t>
  </si>
  <si>
    <t>Otváravo sklopné okno šxv = 1,00x0,8 m</t>
  </si>
  <si>
    <t>921/M21</t>
  </si>
  <si>
    <t xml:space="preserve"> 210010001_1</t>
  </si>
  <si>
    <t>Elektroinštalícia - prívod v chráničke, 1x svietidlo do vlhkého prostredia, 1 x vypínač, 1 x zásuvka</t>
  </si>
  <si>
    <t>sub</t>
  </si>
  <si>
    <t>Objekt SO 01 GARÁŽE TYPU B</t>
  </si>
  <si>
    <t>POVRCHOVÉ ÚPRAVY</t>
  </si>
  <si>
    <t>ZTI-VNÚTORNA KANALIZÁCIA</t>
  </si>
  <si>
    <t>KONŠTRUKCIE STOLÁRSKE</t>
  </si>
  <si>
    <t xml:space="preserve"> 131201101</t>
  </si>
  <si>
    <t>Výkop nezapaženej jamy v hornine 3, do 100 m3</t>
  </si>
  <si>
    <t xml:space="preserve"> 131201109</t>
  </si>
  <si>
    <t>Hĺbenie nezapažených jám a zárezov. Príplatok za lepivosť horniny 3</t>
  </si>
  <si>
    <t xml:space="preserve"> 131211101</t>
  </si>
  <si>
    <t>Hĺbenie jám v  hornine tr.3 súdržných - ručným náradím</t>
  </si>
  <si>
    <t xml:space="preserve"> 131211119</t>
  </si>
  <si>
    <t>Príplatok za lepivosť pri hĺbení jám ručným náradím v hornine tr. 3</t>
  </si>
  <si>
    <t xml:space="preserve"> 167101100</t>
  </si>
  <si>
    <t>Nakladanie výkopku tr.1-4 ručne</t>
  </si>
  <si>
    <t xml:space="preserve"> 311271302</t>
  </si>
  <si>
    <t>Murivo nosné typu PREMAC 50x25x25 s betónovou výplňou hr. 25 cm</t>
  </si>
  <si>
    <t xml:space="preserve"> 311361821</t>
  </si>
  <si>
    <t>Výstuž nadzákladových múrov  10505</t>
  </si>
  <si>
    <t xml:space="preserve"> 345122011</t>
  </si>
  <si>
    <t>Príplatok za montážnu jamu</t>
  </si>
  <si>
    <t xml:space="preserve"> 625250154</t>
  </si>
  <si>
    <t>Doteplenie vonk. konštrukcie, bez povrchovej úpravy, systém XPS typu STYRODUR 2800 C, lepený rámovo  hr. izolantu 60 mm</t>
  </si>
  <si>
    <t xml:space="preserve"> 632451236</t>
  </si>
  <si>
    <t>Poter pieskovocementový 400 kg/m3, hladený oceľovým hladidlom,hr.nad 40 do 50 mm so spádovaním</t>
  </si>
  <si>
    <t xml:space="preserve"> 711112001</t>
  </si>
  <si>
    <t>Zhotovenie  izolácie proti zemnej vlhkosti zvislá penetračným náterom za studena</t>
  </si>
  <si>
    <t xml:space="preserve"> 711142559</t>
  </si>
  <si>
    <t>Zhotovenie  izolácie proti zemnej vlhkosti a tlakovej vode zvislá NAIP pritavením</t>
  </si>
  <si>
    <t>721/A 1</t>
  </si>
  <si>
    <t xml:space="preserve"> 721211205</t>
  </si>
  <si>
    <t>Podlahový vpust DN 100 so zaustením do drenážnej jamy</t>
  </si>
  <si>
    <t>kpl</t>
  </si>
  <si>
    <t>766/A 1</t>
  </si>
  <si>
    <t xml:space="preserve"> 766699111</t>
  </si>
  <si>
    <t>Montáž a dodávka fošňovej výplne hr. 70 mm ošetrenej Biocídnym náterom + 3x lazúrou</t>
  </si>
  <si>
    <t xml:space="preserve"> 998766201</t>
  </si>
  <si>
    <t>Presun hmot pre konštrukcie stolárske v objektoch výšky do 6 m</t>
  </si>
  <si>
    <t xml:space="preserve"> 767995104</t>
  </si>
  <si>
    <t>Montáž ostatných atypických kovových stavebných doplnkových konštrukcií lemovanie montážnej jamy profilom L 80x6 mm dl. 7,4 m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</si>
  <si>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</si>
  <si>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</si>
  <si>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</si>
  <si>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</si>
  <si>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</si>
  <si>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Dátum: 12.6.2018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</si>
</sst>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\ ###\ ##0.00"/>
    <numFmt numFmtId="173" formatCode="###\ ###\ ##0.0000"/>
    <numFmt numFmtId="174" formatCode="###\ ###\ 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sz val="9"/>
      <color indexed="12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2"/>
    </font>
    <font>
      <b/>
      <sz val="8"/>
      <color theme="1"/>
      <name val="Arial CE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sz val="9"/>
      <color theme="1"/>
      <name val="Arial CE"/>
      <family val="2"/>
    </font>
    <font>
      <sz val="9"/>
      <color rgb="FF0000FF"/>
      <name val="Arial CE"/>
      <family val="2"/>
    </font>
    <font>
      <sz val="8"/>
      <color theme="1"/>
      <name val="Arial CE"/>
      <family val="2"/>
    </font>
    <font>
      <b/>
      <sz val="9"/>
      <color theme="1"/>
      <name val="Arial CE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9"/>
      <color rgb="FFFF0000"/>
      <name val="Arial CE"/>
      <family val="2"/>
    </font>
    <font>
      <b/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double">
        <color rgb="FF000000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FFFFFF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80808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808080"/>
      </right>
      <top>
        <color indexed="63"/>
      </top>
      <bottom style="double">
        <color rgb="FF000000"/>
      </bottom>
    </border>
    <border>
      <left style="thin">
        <color rgb="FFFFFFFF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9" fontId="46" fillId="0" borderId="11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172" fontId="46" fillId="0" borderId="18" xfId="0" applyNumberFormat="1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25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0" borderId="27" xfId="0" applyFont="1" applyFill="1" applyBorder="1" applyAlignment="1">
      <alignment/>
    </xf>
    <xf numFmtId="0" fontId="46" fillId="0" borderId="28" xfId="0" applyFont="1" applyFill="1" applyBorder="1" applyAlignment="1">
      <alignment/>
    </xf>
    <xf numFmtId="0" fontId="46" fillId="0" borderId="29" xfId="0" applyFont="1" applyFill="1" applyBorder="1" applyAlignment="1">
      <alignment/>
    </xf>
    <xf numFmtId="0" fontId="46" fillId="0" borderId="30" xfId="0" applyFont="1" applyFill="1" applyBorder="1" applyAlignment="1">
      <alignment/>
    </xf>
    <xf numFmtId="0" fontId="46" fillId="0" borderId="31" xfId="0" applyFont="1" applyFill="1" applyBorder="1" applyAlignment="1">
      <alignment/>
    </xf>
    <xf numFmtId="172" fontId="46" fillId="0" borderId="32" xfId="0" applyNumberFormat="1" applyFont="1" applyFill="1" applyBorder="1" applyAlignment="1">
      <alignment/>
    </xf>
    <xf numFmtId="0" fontId="46" fillId="0" borderId="33" xfId="0" applyFont="1" applyFill="1" applyBorder="1" applyAlignment="1">
      <alignment/>
    </xf>
    <xf numFmtId="0" fontId="46" fillId="0" borderId="34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51" fillId="0" borderId="35" xfId="0" applyFont="1" applyFill="1" applyBorder="1" applyAlignment="1">
      <alignment/>
    </xf>
    <xf numFmtId="0" fontId="50" fillId="0" borderId="36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46" fillId="0" borderId="37" xfId="0" applyFont="1" applyFill="1" applyBorder="1" applyAlignment="1">
      <alignment/>
    </xf>
    <xf numFmtId="0" fontId="46" fillId="0" borderId="38" xfId="0" applyFont="1" applyFill="1" applyBorder="1" applyAlignment="1">
      <alignment/>
    </xf>
    <xf numFmtId="0" fontId="46" fillId="0" borderId="32" xfId="0" applyFont="1" applyFill="1" applyBorder="1" applyAlignment="1">
      <alignment/>
    </xf>
    <xf numFmtId="0" fontId="46" fillId="0" borderId="39" xfId="0" applyFont="1" applyFill="1" applyBorder="1" applyAlignment="1">
      <alignment/>
    </xf>
    <xf numFmtId="0" fontId="46" fillId="0" borderId="40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6" fillId="0" borderId="42" xfId="0" applyFont="1" applyFill="1" applyBorder="1" applyAlignment="1">
      <alignment/>
    </xf>
    <xf numFmtId="0" fontId="46" fillId="0" borderId="43" xfId="0" applyFont="1" applyFill="1" applyBorder="1" applyAlignment="1">
      <alignment/>
    </xf>
    <xf numFmtId="0" fontId="52" fillId="0" borderId="39" xfId="0" applyFont="1" applyFill="1" applyBorder="1" applyAlignment="1">
      <alignment/>
    </xf>
    <xf numFmtId="0" fontId="52" fillId="0" borderId="41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47" fillId="0" borderId="44" xfId="0" applyFont="1" applyFill="1" applyBorder="1" applyAlignment="1">
      <alignment horizontal="center"/>
    </xf>
    <xf numFmtId="0" fontId="52" fillId="0" borderId="45" xfId="0" applyFont="1" applyFill="1" applyBorder="1" applyAlignment="1">
      <alignment horizontal="center"/>
    </xf>
    <xf numFmtId="0" fontId="52" fillId="0" borderId="46" xfId="0" applyFont="1" applyFill="1" applyBorder="1" applyAlignment="1">
      <alignment horizontal="center"/>
    </xf>
    <xf numFmtId="0" fontId="52" fillId="0" borderId="40" xfId="0" applyFont="1" applyFill="1" applyBorder="1" applyAlignment="1">
      <alignment/>
    </xf>
    <xf numFmtId="0" fontId="52" fillId="0" borderId="38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44" xfId="0" applyFont="1" applyFill="1" applyBorder="1" applyAlignment="1">
      <alignment horizontal="center"/>
    </xf>
    <xf numFmtId="172" fontId="46" fillId="0" borderId="27" xfId="0" applyNumberFormat="1" applyFont="1" applyFill="1" applyBorder="1" applyAlignment="1">
      <alignment/>
    </xf>
    <xf numFmtId="0" fontId="52" fillId="0" borderId="47" xfId="0" applyFont="1" applyFill="1" applyBorder="1" applyAlignment="1">
      <alignment horizontal="center"/>
    </xf>
    <xf numFmtId="0" fontId="52" fillId="0" borderId="48" xfId="0" applyFont="1" applyFill="1" applyBorder="1" applyAlignment="1">
      <alignment horizontal="center"/>
    </xf>
    <xf numFmtId="0" fontId="52" fillId="0" borderId="49" xfId="0" applyFont="1" applyFill="1" applyBorder="1" applyAlignment="1">
      <alignment/>
    </xf>
    <xf numFmtId="0" fontId="52" fillId="0" borderId="50" xfId="0" applyFont="1" applyFill="1" applyBorder="1" applyAlignment="1">
      <alignment/>
    </xf>
    <xf numFmtId="0" fontId="52" fillId="0" borderId="51" xfId="0" applyFont="1" applyFill="1" applyBorder="1" applyAlignment="1">
      <alignment/>
    </xf>
    <xf numFmtId="0" fontId="52" fillId="0" borderId="52" xfId="0" applyFont="1" applyFill="1" applyBorder="1" applyAlignment="1">
      <alignment/>
    </xf>
    <xf numFmtId="0" fontId="46" fillId="0" borderId="52" xfId="0" applyFont="1" applyFill="1" applyBorder="1" applyAlignment="1">
      <alignment/>
    </xf>
    <xf numFmtId="0" fontId="52" fillId="0" borderId="53" xfId="0" applyFont="1" applyFill="1" applyBorder="1" applyAlignment="1">
      <alignment/>
    </xf>
    <xf numFmtId="172" fontId="46" fillId="0" borderId="54" xfId="0" applyNumberFormat="1" applyFont="1" applyFill="1" applyBorder="1" applyAlignment="1">
      <alignment/>
    </xf>
    <xf numFmtId="172" fontId="52" fillId="0" borderId="55" xfId="0" applyNumberFormat="1" applyFont="1" applyFill="1" applyBorder="1" applyAlignment="1">
      <alignment/>
    </xf>
    <xf numFmtId="172" fontId="52" fillId="0" borderId="50" xfId="0" applyNumberFormat="1" applyFont="1" applyFill="1" applyBorder="1" applyAlignment="1">
      <alignment/>
    </xf>
    <xf numFmtId="172" fontId="52" fillId="0" borderId="51" xfId="0" applyNumberFormat="1" applyFont="1" applyFill="1" applyBorder="1" applyAlignment="1">
      <alignment/>
    </xf>
    <xf numFmtId="172" fontId="52" fillId="0" borderId="52" xfId="0" applyNumberFormat="1" applyFont="1" applyFill="1" applyBorder="1" applyAlignment="1">
      <alignment/>
    </xf>
    <xf numFmtId="172" fontId="46" fillId="0" borderId="53" xfId="0" applyNumberFormat="1" applyFont="1" applyFill="1" applyBorder="1" applyAlignment="1">
      <alignment/>
    </xf>
    <xf numFmtId="172" fontId="52" fillId="0" borderId="0" xfId="0" applyNumberFormat="1" applyFont="1" applyFill="1" applyBorder="1" applyAlignment="1">
      <alignment/>
    </xf>
    <xf numFmtId="172" fontId="52" fillId="0" borderId="56" xfId="0" applyNumberFormat="1" applyFont="1" applyFill="1" applyBorder="1" applyAlignment="1">
      <alignment/>
    </xf>
    <xf numFmtId="0" fontId="46" fillId="0" borderId="57" xfId="0" applyFont="1" applyFill="1" applyBorder="1" applyAlignment="1">
      <alignment/>
    </xf>
    <xf numFmtId="0" fontId="46" fillId="0" borderId="58" xfId="0" applyFont="1" applyFill="1" applyBorder="1" applyAlignment="1">
      <alignment/>
    </xf>
    <xf numFmtId="0" fontId="46" fillId="0" borderId="59" xfId="0" applyFont="1" applyFill="1" applyBorder="1" applyAlignment="1">
      <alignment/>
    </xf>
    <xf numFmtId="0" fontId="46" fillId="0" borderId="60" xfId="0" applyFont="1" applyFill="1" applyBorder="1" applyAlignment="1">
      <alignment/>
    </xf>
    <xf numFmtId="172" fontId="46" fillId="0" borderId="28" xfId="0" applyNumberFormat="1" applyFont="1" applyFill="1" applyBorder="1" applyAlignment="1">
      <alignment/>
    </xf>
    <xf numFmtId="172" fontId="46" fillId="0" borderId="56" xfId="0" applyNumberFormat="1" applyFont="1" applyFill="1" applyBorder="1" applyAlignment="1">
      <alignment/>
    </xf>
    <xf numFmtId="172" fontId="52" fillId="0" borderId="61" xfId="0" applyNumberFormat="1" applyFont="1" applyFill="1" applyBorder="1" applyAlignment="1">
      <alignment/>
    </xf>
    <xf numFmtId="172" fontId="46" fillId="0" borderId="61" xfId="0" applyNumberFormat="1" applyFont="1" applyFill="1" applyBorder="1" applyAlignment="1">
      <alignment/>
    </xf>
    <xf numFmtId="0" fontId="47" fillId="0" borderId="62" xfId="0" applyFont="1" applyFill="1" applyBorder="1" applyAlignment="1">
      <alignment horizontal="center"/>
    </xf>
    <xf numFmtId="0" fontId="52" fillId="0" borderId="63" xfId="0" applyFont="1" applyFill="1" applyBorder="1" applyAlignment="1">
      <alignment/>
    </xf>
    <xf numFmtId="0" fontId="52" fillId="0" borderId="64" xfId="0" applyFont="1" applyFill="1" applyBorder="1" applyAlignment="1">
      <alignment/>
    </xf>
    <xf numFmtId="0" fontId="52" fillId="0" borderId="65" xfId="0" applyFont="1" applyFill="1" applyBorder="1" applyAlignment="1">
      <alignment horizontal="center"/>
    </xf>
    <xf numFmtId="0" fontId="52" fillId="0" borderId="66" xfId="0" applyFont="1" applyFill="1" applyBorder="1" applyAlignment="1">
      <alignment/>
    </xf>
    <xf numFmtId="172" fontId="52" fillId="0" borderId="66" xfId="0" applyNumberFormat="1" applyFont="1" applyFill="1" applyBorder="1" applyAlignment="1">
      <alignment/>
    </xf>
    <xf numFmtId="172" fontId="52" fillId="0" borderId="67" xfId="0" applyNumberFormat="1" applyFont="1" applyFill="1" applyBorder="1" applyAlignment="1">
      <alignment/>
    </xf>
    <xf numFmtId="172" fontId="46" fillId="0" borderId="68" xfId="0" applyNumberFormat="1" applyFont="1" applyFill="1" applyBorder="1" applyAlignment="1">
      <alignment/>
    </xf>
    <xf numFmtId="172" fontId="47" fillId="0" borderId="69" xfId="0" applyNumberFormat="1" applyFont="1" applyFill="1" applyBorder="1" applyAlignment="1">
      <alignment/>
    </xf>
    <xf numFmtId="172" fontId="46" fillId="0" borderId="70" xfId="0" applyNumberFormat="1" applyFont="1" applyFill="1" applyBorder="1" applyAlignment="1">
      <alignment/>
    </xf>
    <xf numFmtId="0" fontId="46" fillId="0" borderId="71" xfId="0" applyFont="1" applyFill="1" applyBorder="1" applyAlignment="1">
      <alignment/>
    </xf>
    <xf numFmtId="0" fontId="46" fillId="0" borderId="72" xfId="0" applyFont="1" applyFill="1" applyBorder="1" applyAlignment="1">
      <alignment/>
    </xf>
    <xf numFmtId="0" fontId="46" fillId="0" borderId="73" xfId="0" applyFont="1" applyFill="1" applyBorder="1" applyAlignment="1">
      <alignment/>
    </xf>
    <xf numFmtId="0" fontId="52" fillId="0" borderId="36" xfId="0" applyFont="1" applyFill="1" applyBorder="1" applyAlignment="1">
      <alignment/>
    </xf>
    <xf numFmtId="0" fontId="52" fillId="0" borderId="74" xfId="0" applyFont="1" applyFill="1" applyBorder="1" applyAlignment="1">
      <alignment/>
    </xf>
    <xf numFmtId="172" fontId="52" fillId="0" borderId="75" xfId="0" applyNumberFormat="1" applyFont="1" applyFill="1" applyBorder="1" applyAlignment="1">
      <alignment/>
    </xf>
    <xf numFmtId="172" fontId="47" fillId="0" borderId="76" xfId="0" applyNumberFormat="1" applyFont="1" applyFill="1" applyBorder="1" applyAlignment="1">
      <alignment/>
    </xf>
    <xf numFmtId="172" fontId="47" fillId="0" borderId="77" xfId="0" applyNumberFormat="1" applyFont="1" applyFill="1" applyBorder="1" applyAlignment="1">
      <alignment/>
    </xf>
    <xf numFmtId="0" fontId="47" fillId="0" borderId="78" xfId="0" applyFont="1" applyFill="1" applyBorder="1" applyAlignment="1">
      <alignment horizontal="center"/>
    </xf>
    <xf numFmtId="0" fontId="52" fillId="0" borderId="79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172" fontId="46" fillId="0" borderId="80" xfId="0" applyNumberFormat="1" applyFont="1" applyFill="1" applyBorder="1" applyAlignment="1">
      <alignment/>
    </xf>
    <xf numFmtId="172" fontId="46" fillId="0" borderId="81" xfId="0" applyNumberFormat="1" applyFont="1" applyFill="1" applyBorder="1" applyAlignment="1">
      <alignment/>
    </xf>
    <xf numFmtId="0" fontId="52" fillId="0" borderId="75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56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72" fontId="50" fillId="0" borderId="82" xfId="0" applyNumberFormat="1" applyFont="1" applyFill="1" applyBorder="1" applyAlignment="1">
      <alignment/>
    </xf>
    <xf numFmtId="172" fontId="50" fillId="0" borderId="83" xfId="0" applyNumberFormat="1" applyFont="1" applyFill="1" applyBorder="1" applyAlignment="1">
      <alignment/>
    </xf>
    <xf numFmtId="172" fontId="50" fillId="0" borderId="84" xfId="0" applyNumberFormat="1" applyFont="1" applyFill="1" applyBorder="1" applyAlignment="1">
      <alignment/>
    </xf>
    <xf numFmtId="172" fontId="46" fillId="0" borderId="83" xfId="0" applyNumberFormat="1" applyFont="1" applyFill="1" applyBorder="1" applyAlignment="1">
      <alignment/>
    </xf>
    <xf numFmtId="0" fontId="46" fillId="0" borderId="85" xfId="0" applyFont="1" applyFill="1" applyBorder="1" applyAlignment="1">
      <alignment/>
    </xf>
    <xf numFmtId="172" fontId="52" fillId="0" borderId="86" xfId="0" applyNumberFormat="1" applyFont="1" applyFill="1" applyBorder="1" applyAlignment="1">
      <alignment/>
    </xf>
    <xf numFmtId="0" fontId="46" fillId="0" borderId="87" xfId="0" applyFont="1" applyFill="1" applyBorder="1" applyAlignment="1">
      <alignment/>
    </xf>
    <xf numFmtId="0" fontId="46" fillId="0" borderId="56" xfId="0" applyFont="1" applyFill="1" applyBorder="1" applyAlignment="1">
      <alignment/>
    </xf>
    <xf numFmtId="172" fontId="52" fillId="0" borderId="83" xfId="0" applyNumberFormat="1" applyFont="1" applyFill="1" applyBorder="1" applyAlignment="1">
      <alignment/>
    </xf>
    <xf numFmtId="172" fontId="52" fillId="0" borderId="84" xfId="0" applyNumberFormat="1" applyFont="1" applyFill="1" applyBorder="1" applyAlignment="1">
      <alignment/>
    </xf>
    <xf numFmtId="172" fontId="46" fillId="0" borderId="84" xfId="0" applyNumberFormat="1" applyFont="1" applyFill="1" applyBorder="1" applyAlignment="1">
      <alignment/>
    </xf>
    <xf numFmtId="0" fontId="46" fillId="0" borderId="61" xfId="0" applyFont="1" applyFill="1" applyBorder="1" applyAlignment="1">
      <alignment/>
    </xf>
    <xf numFmtId="0" fontId="52" fillId="0" borderId="61" xfId="0" applyFont="1" applyFill="1" applyBorder="1" applyAlignment="1">
      <alignment/>
    </xf>
    <xf numFmtId="0" fontId="46" fillId="0" borderId="88" xfId="0" applyFont="1" applyFill="1" applyBorder="1" applyAlignment="1">
      <alignment/>
    </xf>
    <xf numFmtId="172" fontId="46" fillId="0" borderId="89" xfId="0" applyNumberFormat="1" applyFont="1" applyFill="1" applyBorder="1" applyAlignment="1">
      <alignment/>
    </xf>
    <xf numFmtId="172" fontId="53" fillId="0" borderId="90" xfId="0" applyNumberFormat="1" applyFont="1" applyFill="1" applyBorder="1" applyAlignment="1">
      <alignment/>
    </xf>
    <xf numFmtId="0" fontId="46" fillId="0" borderId="91" xfId="0" applyFont="1" applyFill="1" applyBorder="1" applyAlignment="1">
      <alignment/>
    </xf>
    <xf numFmtId="0" fontId="46" fillId="0" borderId="92" xfId="0" applyFont="1" applyFill="1" applyBorder="1" applyAlignment="1">
      <alignment/>
    </xf>
    <xf numFmtId="0" fontId="46" fillId="0" borderId="93" xfId="0" applyFont="1" applyFill="1" applyBorder="1" applyAlignment="1">
      <alignment/>
    </xf>
    <xf numFmtId="0" fontId="46" fillId="0" borderId="94" xfId="0" applyFont="1" applyFill="1" applyBorder="1" applyAlignment="1">
      <alignment/>
    </xf>
    <xf numFmtId="0" fontId="46" fillId="0" borderId="95" xfId="0" applyFont="1" applyFill="1" applyBorder="1" applyAlignment="1">
      <alignment/>
    </xf>
    <xf numFmtId="0" fontId="46" fillId="0" borderId="96" xfId="0" applyFont="1" applyFill="1" applyBorder="1" applyAlignment="1">
      <alignment/>
    </xf>
    <xf numFmtId="0" fontId="46" fillId="0" borderId="97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98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33" borderId="13" xfId="0" applyFont="1" applyFill="1" applyBorder="1" applyAlignment="1">
      <alignment/>
    </xf>
    <xf numFmtId="173" fontId="46" fillId="0" borderId="0" xfId="0" applyNumberFormat="1" applyFont="1" applyAlignment="1">
      <alignment/>
    </xf>
    <xf numFmtId="172" fontId="46" fillId="0" borderId="0" xfId="0" applyNumberFormat="1" applyFont="1" applyAlignment="1">
      <alignment/>
    </xf>
    <xf numFmtId="0" fontId="52" fillId="0" borderId="99" xfId="0" applyFont="1" applyBorder="1" applyAlignment="1">
      <alignment/>
    </xf>
    <xf numFmtId="172" fontId="52" fillId="0" borderId="99" xfId="0" applyNumberFormat="1" applyFont="1" applyBorder="1" applyAlignment="1">
      <alignment/>
    </xf>
    <xf numFmtId="173" fontId="52" fillId="0" borderId="99" xfId="0" applyNumberFormat="1" applyFont="1" applyBorder="1" applyAlignment="1">
      <alignment/>
    </xf>
    <xf numFmtId="0" fontId="54" fillId="0" borderId="0" xfId="0" applyFont="1" applyAlignment="1">
      <alignment/>
    </xf>
    <xf numFmtId="0" fontId="47" fillId="0" borderId="99" xfId="0" applyFont="1" applyBorder="1" applyAlignment="1">
      <alignment/>
    </xf>
    <xf numFmtId="172" fontId="47" fillId="0" borderId="99" xfId="0" applyNumberFormat="1" applyFont="1" applyBorder="1" applyAlignment="1">
      <alignment/>
    </xf>
    <xf numFmtId="0" fontId="52" fillId="0" borderId="0" xfId="0" applyFont="1" applyAlignment="1">
      <alignment/>
    </xf>
    <xf numFmtId="172" fontId="52" fillId="0" borderId="0" xfId="0" applyNumberFormat="1" applyFont="1" applyAlignment="1">
      <alignment/>
    </xf>
    <xf numFmtId="173" fontId="52" fillId="0" borderId="0" xfId="0" applyNumberFormat="1" applyFont="1" applyAlignment="1">
      <alignment/>
    </xf>
    <xf numFmtId="172" fontId="47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0" fontId="55" fillId="33" borderId="0" xfId="0" applyFont="1" applyFill="1" applyAlignment="1">
      <alignment/>
    </xf>
    <xf numFmtId="0" fontId="55" fillId="0" borderId="0" xfId="0" applyFont="1" applyAlignment="1">
      <alignment/>
    </xf>
    <xf numFmtId="174" fontId="46" fillId="0" borderId="0" xfId="0" applyNumberFormat="1" applyFont="1" applyAlignment="1">
      <alignment/>
    </xf>
    <xf numFmtId="0" fontId="47" fillId="33" borderId="99" xfId="0" applyFont="1" applyFill="1" applyBorder="1" applyAlignment="1">
      <alignment/>
    </xf>
    <xf numFmtId="49" fontId="52" fillId="0" borderId="99" xfId="0" applyNumberFormat="1" applyFont="1" applyBorder="1" applyAlignment="1">
      <alignment/>
    </xf>
    <xf numFmtId="174" fontId="52" fillId="0" borderId="99" xfId="0" applyNumberFormat="1" applyFont="1" applyBorder="1" applyAlignment="1">
      <alignment/>
    </xf>
    <xf numFmtId="174" fontId="52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174" fontId="52" fillId="0" borderId="0" xfId="0" applyNumberFormat="1" applyFont="1" applyAlignment="1">
      <alignment wrapText="1"/>
    </xf>
    <xf numFmtId="172" fontId="52" fillId="0" borderId="0" xfId="0" applyNumberFormat="1" applyFont="1" applyAlignment="1">
      <alignment wrapText="1"/>
    </xf>
    <xf numFmtId="0" fontId="52" fillId="0" borderId="0" xfId="0" applyFont="1" applyAlignment="1">
      <alignment horizontal="center" wrapText="1"/>
    </xf>
    <xf numFmtId="49" fontId="52" fillId="0" borderId="0" xfId="0" applyNumberFormat="1" applyFont="1" applyAlignment="1">
      <alignment horizontal="left" wrapText="1"/>
    </xf>
    <xf numFmtId="174" fontId="0" fillId="0" borderId="0" xfId="0" applyNumberFormat="1" applyAlignment="1">
      <alignment/>
    </xf>
    <xf numFmtId="174" fontId="47" fillId="0" borderId="0" xfId="0" applyNumberFormat="1" applyFont="1" applyAlignment="1">
      <alignment/>
    </xf>
    <xf numFmtId="173" fontId="52" fillId="0" borderId="0" xfId="0" applyNumberFormat="1" applyFont="1" applyAlignment="1">
      <alignment wrapText="1"/>
    </xf>
    <xf numFmtId="0" fontId="56" fillId="0" borderId="99" xfId="0" applyFont="1" applyBorder="1" applyAlignment="1">
      <alignment/>
    </xf>
    <xf numFmtId="174" fontId="56" fillId="0" borderId="99" xfId="0" applyNumberFormat="1" applyFont="1" applyBorder="1" applyAlignment="1">
      <alignment/>
    </xf>
    <xf numFmtId="172" fontId="56" fillId="0" borderId="99" xfId="0" applyNumberFormat="1" applyFont="1" applyBorder="1" applyAlignment="1">
      <alignment/>
    </xf>
    <xf numFmtId="0" fontId="57" fillId="0" borderId="99" xfId="0" applyFont="1" applyBorder="1" applyAlignment="1">
      <alignment/>
    </xf>
    <xf numFmtId="0" fontId="52" fillId="0" borderId="11" xfId="0" applyFont="1" applyFill="1" applyBorder="1" applyAlignment="1">
      <alignment/>
    </xf>
    <xf numFmtId="172" fontId="52" fillId="0" borderId="11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47" fillId="0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0" fontId="47" fillId="0" borderId="14" xfId="0" applyFont="1" applyFill="1" applyBorder="1" applyAlignment="1">
      <alignment/>
    </xf>
    <xf numFmtId="172" fontId="47" fillId="0" borderId="14" xfId="0" applyNumberFormat="1" applyFont="1" applyFill="1" applyBorder="1" applyAlignment="1">
      <alignment/>
    </xf>
    <xf numFmtId="0" fontId="47" fillId="0" borderId="100" xfId="0" applyFont="1" applyFill="1" applyBorder="1" applyAlignment="1">
      <alignment/>
    </xf>
    <xf numFmtId="172" fontId="47" fillId="0" borderId="100" xfId="0" applyNumberFormat="1" applyFont="1" applyFill="1" applyBorder="1" applyAlignment="1">
      <alignment/>
    </xf>
    <xf numFmtId="0" fontId="52" fillId="0" borderId="101" xfId="0" applyFont="1" applyFill="1" applyBorder="1" applyAlignment="1">
      <alignment horizontal="center"/>
    </xf>
    <xf numFmtId="0" fontId="46" fillId="0" borderId="76" xfId="0" applyFont="1" applyFill="1" applyBorder="1" applyAlignment="1">
      <alignment/>
    </xf>
    <xf numFmtId="0" fontId="46" fillId="0" borderId="102" xfId="0" applyFont="1" applyFill="1" applyBorder="1" applyAlignment="1">
      <alignment/>
    </xf>
    <xf numFmtId="172" fontId="46" fillId="0" borderId="103" xfId="0" applyNumberFormat="1" applyFont="1" applyFill="1" applyBorder="1" applyAlignment="1">
      <alignment/>
    </xf>
    <xf numFmtId="172" fontId="53" fillId="0" borderId="104" xfId="0" applyNumberFormat="1" applyFont="1" applyFill="1" applyBorder="1" applyAlignment="1">
      <alignment/>
    </xf>
    <xf numFmtId="14" fontId="52" fillId="0" borderId="31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2.7109375" style="0" customWidth="1"/>
    <col min="2" max="2" width="10.7109375" style="0" customWidth="1"/>
    <col min="3" max="6" width="8.7109375" style="0" customWidth="1"/>
    <col min="7" max="7" width="10.7109375" style="0" customWidth="1"/>
    <col min="9" max="26" width="0" style="0" hidden="1" customWidth="1"/>
  </cols>
  <sheetData>
    <row r="1" spans="1:7" ht="14.25">
      <c r="A1" s="3"/>
      <c r="B1" s="3"/>
      <c r="C1" s="3"/>
      <c r="D1" s="3"/>
      <c r="E1" s="3"/>
      <c r="F1" s="3"/>
      <c r="G1" s="3"/>
    </row>
    <row r="2" spans="1:7" ht="14.2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4.25">
      <c r="A3" s="3"/>
      <c r="B3" s="3"/>
      <c r="C3" s="3"/>
      <c r="D3" s="3"/>
      <c r="E3" s="3"/>
      <c r="F3" s="7" t="s">
        <v>3</v>
      </c>
      <c r="G3" s="7" t="s">
        <v>4</v>
      </c>
    </row>
    <row r="4" spans="1:7" ht="14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7" ht="14.25">
      <c r="A5" s="3"/>
      <c r="B5" s="3"/>
      <c r="C5" s="3"/>
      <c r="D5" s="3"/>
      <c r="E5" s="3"/>
      <c r="F5" s="3"/>
      <c r="G5" s="3"/>
    </row>
    <row r="6" spans="1:7" ht="14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4.25">
      <c r="A7" s="179" t="s">
        <v>12</v>
      </c>
      <c r="B7" s="180">
        <f>'SO 15753'!I79-Rekapitulácia!D7</f>
        <v>0</v>
      </c>
      <c r="C7" s="180">
        <f>'Kryci_list 15753'!J26</f>
        <v>0</v>
      </c>
      <c r="D7" s="180">
        <v>0</v>
      </c>
      <c r="E7" s="180">
        <f>'Kryci_list 15753'!J17</f>
        <v>0</v>
      </c>
      <c r="F7" s="180">
        <v>0</v>
      </c>
      <c r="G7" s="180">
        <f>B7+C7+D7+E7+F7</f>
        <v>0</v>
      </c>
      <c r="K7">
        <f>'SO 15753'!K79</f>
        <v>0</v>
      </c>
      <c r="Q7">
        <v>30.126</v>
      </c>
    </row>
    <row r="8" spans="1:17" ht="14.25">
      <c r="A8" s="69" t="s">
        <v>13</v>
      </c>
      <c r="B8" s="76">
        <f>'SO 15761'!I104-Rekapitulácia!D8</f>
        <v>0</v>
      </c>
      <c r="C8" s="76">
        <f>'Kryci_list 15761'!J26</f>
        <v>0</v>
      </c>
      <c r="D8" s="76">
        <v>0</v>
      </c>
      <c r="E8" s="76">
        <f>'Kryci_list 15761'!J17</f>
        <v>0</v>
      </c>
      <c r="F8" s="76">
        <v>0</v>
      </c>
      <c r="G8" s="76">
        <f>B8+C8+D8+E8+F8</f>
        <v>0</v>
      </c>
      <c r="K8">
        <f>'SO 15761'!K104</f>
        <v>0</v>
      </c>
      <c r="Q8">
        <v>30.126</v>
      </c>
    </row>
    <row r="9" spans="1:26" ht="14.25">
      <c r="A9" s="186" t="s">
        <v>223</v>
      </c>
      <c r="B9" s="187">
        <f>SUM(B7:B8)</f>
        <v>0</v>
      </c>
      <c r="C9" s="187">
        <f>SUM(C7:C8)</f>
        <v>0</v>
      </c>
      <c r="D9" s="187">
        <f>SUM(D7:D8)</f>
        <v>0</v>
      </c>
      <c r="E9" s="187">
        <f>SUM(E7:E8)</f>
        <v>0</v>
      </c>
      <c r="F9" s="187">
        <f>SUM(F7:F8)</f>
        <v>0</v>
      </c>
      <c r="G9" s="187">
        <f>SUM(G7:G8)-SUM(Z7:Z8)</f>
        <v>0</v>
      </c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</row>
    <row r="10" spans="1:26" ht="14.25">
      <c r="A10" s="184" t="s">
        <v>224</v>
      </c>
      <c r="B10" s="185">
        <f>G9-SUM(Rekapitulácia!K7:Rekapitulácia!K8)*1</f>
        <v>0</v>
      </c>
      <c r="C10" s="185"/>
      <c r="D10" s="185"/>
      <c r="E10" s="185"/>
      <c r="F10" s="185"/>
      <c r="G10" s="185">
        <f>ROUND(((ROUND(B10,2)*20)/100),2)*1</f>
        <v>0</v>
      </c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ht="14.25">
      <c r="A11" s="5" t="s">
        <v>225</v>
      </c>
      <c r="B11" s="182">
        <f>(G9-B10)</f>
        <v>0</v>
      </c>
      <c r="C11" s="182"/>
      <c r="D11" s="182"/>
      <c r="E11" s="182"/>
      <c r="F11" s="182"/>
      <c r="G11" s="182">
        <f>ROUND(((ROUND(B11,2)*0)/100),2)</f>
        <v>0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ht="14.25">
      <c r="A12" s="5" t="s">
        <v>226</v>
      </c>
      <c r="B12" s="182"/>
      <c r="C12" s="182"/>
      <c r="D12" s="182"/>
      <c r="E12" s="182"/>
      <c r="F12" s="182"/>
      <c r="G12" s="182">
        <f>SUM(G9:G11)</f>
        <v>0</v>
      </c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7" ht="14.25">
      <c r="A13" s="10"/>
      <c r="B13" s="183"/>
      <c r="C13" s="183"/>
      <c r="D13" s="183"/>
      <c r="E13" s="183"/>
      <c r="F13" s="183"/>
      <c r="G13" s="183"/>
    </row>
    <row r="14" spans="1:7" ht="14.25">
      <c r="A14" s="10"/>
      <c r="B14" s="183"/>
      <c r="C14" s="183"/>
      <c r="D14" s="183"/>
      <c r="E14" s="183"/>
      <c r="F14" s="183"/>
      <c r="G14" s="183"/>
    </row>
    <row r="15" spans="1:7" ht="14.25">
      <c r="A15" s="10"/>
      <c r="B15" s="183"/>
      <c r="C15" s="183"/>
      <c r="D15" s="183"/>
      <c r="E15" s="183"/>
      <c r="F15" s="183"/>
      <c r="G15" s="183"/>
    </row>
    <row r="16" spans="1:7" ht="14.25">
      <c r="A16" s="10"/>
      <c r="B16" s="183"/>
      <c r="C16" s="183"/>
      <c r="D16" s="183"/>
      <c r="E16" s="183"/>
      <c r="F16" s="183"/>
      <c r="G16" s="183"/>
    </row>
    <row r="17" spans="1:7" ht="14.25">
      <c r="A17" s="10"/>
      <c r="B17" s="183"/>
      <c r="C17" s="183"/>
      <c r="D17" s="183"/>
      <c r="E17" s="183"/>
      <c r="F17" s="183"/>
      <c r="G17" s="183"/>
    </row>
    <row r="18" spans="1:7" ht="14.25">
      <c r="A18" s="10"/>
      <c r="B18" s="183"/>
      <c r="C18" s="183"/>
      <c r="D18" s="183"/>
      <c r="E18" s="183"/>
      <c r="F18" s="183"/>
      <c r="G18" s="183"/>
    </row>
    <row r="19" spans="1:7" ht="14.25">
      <c r="A19" s="10"/>
      <c r="B19" s="183"/>
      <c r="C19" s="183"/>
      <c r="D19" s="183"/>
      <c r="E19" s="183"/>
      <c r="F19" s="183"/>
      <c r="G19" s="183"/>
    </row>
    <row r="20" spans="1:7" ht="14.25">
      <c r="A20" s="10"/>
      <c r="B20" s="183"/>
      <c r="C20" s="183"/>
      <c r="D20" s="183"/>
      <c r="E20" s="183"/>
      <c r="F20" s="183"/>
      <c r="G20" s="183"/>
    </row>
    <row r="21" spans="1:7" ht="14.25">
      <c r="A21" s="10"/>
      <c r="B21" s="183"/>
      <c r="C21" s="183"/>
      <c r="D21" s="183"/>
      <c r="E21" s="183"/>
      <c r="F21" s="183"/>
      <c r="G21" s="183"/>
    </row>
    <row r="22" spans="1:7" ht="14.25">
      <c r="A22" s="10"/>
      <c r="B22" s="183"/>
      <c r="C22" s="183"/>
      <c r="D22" s="183"/>
      <c r="E22" s="183"/>
      <c r="F22" s="183"/>
      <c r="G22" s="183"/>
    </row>
    <row r="23" spans="1:7" ht="14.25">
      <c r="A23" s="10"/>
      <c r="B23" s="183"/>
      <c r="C23" s="183"/>
      <c r="D23" s="183"/>
      <c r="E23" s="183"/>
      <c r="F23" s="183"/>
      <c r="G23" s="183"/>
    </row>
    <row r="24" spans="1:7" ht="14.25">
      <c r="A24" s="10"/>
      <c r="B24" s="183"/>
      <c r="C24" s="183"/>
      <c r="D24" s="183"/>
      <c r="E24" s="183"/>
      <c r="F24" s="183"/>
      <c r="G24" s="183"/>
    </row>
    <row r="25" spans="1:7" ht="14.25">
      <c r="A25" s="10"/>
      <c r="B25" s="183"/>
      <c r="C25" s="183"/>
      <c r="D25" s="183"/>
      <c r="E25" s="183"/>
      <c r="F25" s="183"/>
      <c r="G25" s="183"/>
    </row>
    <row r="26" spans="1:7" ht="14.25">
      <c r="A26" s="10"/>
      <c r="B26" s="183"/>
      <c r="C26" s="183"/>
      <c r="D26" s="183"/>
      <c r="E26" s="183"/>
      <c r="F26" s="183"/>
      <c r="G26" s="183"/>
    </row>
    <row r="27" spans="1:7" ht="14.25">
      <c r="A27" s="10"/>
      <c r="B27" s="183"/>
      <c r="C27" s="183"/>
      <c r="D27" s="183"/>
      <c r="E27" s="183"/>
      <c r="F27" s="183"/>
      <c r="G27" s="183"/>
    </row>
    <row r="28" spans="1:7" ht="14.25">
      <c r="A28" s="10"/>
      <c r="B28" s="183"/>
      <c r="C28" s="183"/>
      <c r="D28" s="183"/>
      <c r="E28" s="183"/>
      <c r="F28" s="183"/>
      <c r="G28" s="183"/>
    </row>
    <row r="29" spans="1:7" ht="14.25">
      <c r="A29" s="10"/>
      <c r="B29" s="183"/>
      <c r="C29" s="183"/>
      <c r="D29" s="183"/>
      <c r="E29" s="183"/>
      <c r="F29" s="183"/>
      <c r="G29" s="183"/>
    </row>
    <row r="30" spans="1:7" ht="14.25">
      <c r="A30" s="10"/>
      <c r="B30" s="183"/>
      <c r="C30" s="183"/>
      <c r="D30" s="183"/>
      <c r="E30" s="183"/>
      <c r="F30" s="183"/>
      <c r="G30" s="183"/>
    </row>
    <row r="31" spans="1:7" ht="14.25">
      <c r="A31" s="10"/>
      <c r="B31" s="183"/>
      <c r="C31" s="183"/>
      <c r="D31" s="183"/>
      <c r="E31" s="183"/>
      <c r="F31" s="183"/>
      <c r="G31" s="183"/>
    </row>
    <row r="32" spans="1:7" ht="14.25">
      <c r="A32" s="10"/>
      <c r="B32" s="183"/>
      <c r="C32" s="183"/>
      <c r="D32" s="183"/>
      <c r="E32" s="183"/>
      <c r="F32" s="183"/>
      <c r="G32" s="183"/>
    </row>
    <row r="33" spans="1:7" ht="14.25">
      <c r="A33" s="10"/>
      <c r="B33" s="183"/>
      <c r="C33" s="183"/>
      <c r="D33" s="183"/>
      <c r="E33" s="183"/>
      <c r="F33" s="183"/>
      <c r="G33" s="183"/>
    </row>
    <row r="34" spans="1:7" ht="14.25">
      <c r="A34" s="10"/>
      <c r="B34" s="183"/>
      <c r="C34" s="183"/>
      <c r="D34" s="183"/>
      <c r="E34" s="183"/>
      <c r="F34" s="183"/>
      <c r="G34" s="183"/>
    </row>
    <row r="35" spans="1:7" ht="14.25">
      <c r="A35" s="1"/>
      <c r="B35" s="148"/>
      <c r="C35" s="148"/>
      <c r="D35" s="148"/>
      <c r="E35" s="148"/>
      <c r="F35" s="148"/>
      <c r="G35" s="148"/>
    </row>
    <row r="36" spans="1:7" ht="14.25">
      <c r="A36" s="1"/>
      <c r="B36" s="148"/>
      <c r="C36" s="148"/>
      <c r="D36" s="148"/>
      <c r="E36" s="148"/>
      <c r="F36" s="148"/>
      <c r="G36" s="148"/>
    </row>
    <row r="37" spans="1:7" ht="14.25">
      <c r="A37" s="1"/>
      <c r="B37" s="148"/>
      <c r="C37" s="148"/>
      <c r="D37" s="148"/>
      <c r="E37" s="148"/>
      <c r="F37" s="148"/>
      <c r="G37" s="148"/>
    </row>
    <row r="38" spans="1:7" ht="14.25">
      <c r="A38" s="1"/>
      <c r="B38" s="148"/>
      <c r="C38" s="148"/>
      <c r="D38" s="148"/>
      <c r="E38" s="148"/>
      <c r="F38" s="148"/>
      <c r="G38" s="148"/>
    </row>
    <row r="39" spans="1:7" ht="14.25">
      <c r="A39" s="1"/>
      <c r="B39" s="148"/>
      <c r="C39" s="148"/>
      <c r="D39" s="148"/>
      <c r="E39" s="148"/>
      <c r="F39" s="148"/>
      <c r="G39" s="148"/>
    </row>
    <row r="40" spans="1:7" ht="14.25">
      <c r="A40" s="1"/>
      <c r="B40" s="148"/>
      <c r="C40" s="148"/>
      <c r="D40" s="148"/>
      <c r="E40" s="148"/>
      <c r="F40" s="148"/>
      <c r="G40" s="148"/>
    </row>
    <row r="41" spans="1:7" ht="14.25">
      <c r="A41" s="1"/>
      <c r="B41" s="148"/>
      <c r="C41" s="148"/>
      <c r="D41" s="148"/>
      <c r="E41" s="148"/>
      <c r="F41" s="148"/>
      <c r="G41" s="148"/>
    </row>
    <row r="42" spans="1:7" ht="14.25">
      <c r="A42" s="1"/>
      <c r="B42" s="148"/>
      <c r="C42" s="148"/>
      <c r="D42" s="148"/>
      <c r="E42" s="148"/>
      <c r="F42" s="148"/>
      <c r="G42" s="148"/>
    </row>
    <row r="43" spans="1:7" ht="14.25">
      <c r="A43" s="1"/>
      <c r="B43" s="148"/>
      <c r="C43" s="148"/>
      <c r="D43" s="148"/>
      <c r="E43" s="148"/>
      <c r="F43" s="148"/>
      <c r="G43" s="148"/>
    </row>
    <row r="44" spans="1:7" ht="14.25">
      <c r="A44" s="1"/>
      <c r="B44" s="148"/>
      <c r="C44" s="148"/>
      <c r="D44" s="148"/>
      <c r="E44" s="148"/>
      <c r="F44" s="148"/>
      <c r="G44" s="148"/>
    </row>
    <row r="45" spans="1:7" ht="14.25">
      <c r="A45" s="1"/>
      <c r="B45" s="148"/>
      <c r="C45" s="148"/>
      <c r="D45" s="148"/>
      <c r="E45" s="148"/>
      <c r="F45" s="148"/>
      <c r="G45" s="148"/>
    </row>
    <row r="46" spans="1:7" ht="14.25">
      <c r="A46" s="1"/>
      <c r="B46" s="148"/>
      <c r="C46" s="148"/>
      <c r="D46" s="148"/>
      <c r="E46" s="148"/>
      <c r="F46" s="148"/>
      <c r="G46" s="148"/>
    </row>
    <row r="47" spans="1:7" ht="14.25">
      <c r="A47" s="1"/>
      <c r="B47" s="148"/>
      <c r="C47" s="148"/>
      <c r="D47" s="148"/>
      <c r="E47" s="148"/>
      <c r="F47" s="148"/>
      <c r="G47" s="148"/>
    </row>
    <row r="48" spans="1:7" ht="14.25">
      <c r="A48" s="1"/>
      <c r="B48" s="148"/>
      <c r="C48" s="148"/>
      <c r="D48" s="148"/>
      <c r="E48" s="148"/>
      <c r="F48" s="148"/>
      <c r="G48" s="148"/>
    </row>
    <row r="49" spans="1:7" ht="14.25">
      <c r="A49" s="1"/>
      <c r="B49" s="148"/>
      <c r="C49" s="148"/>
      <c r="D49" s="148"/>
      <c r="E49" s="148"/>
      <c r="F49" s="148"/>
      <c r="G49" s="148"/>
    </row>
    <row r="50" spans="1:7" ht="14.25">
      <c r="A50" s="1"/>
      <c r="B50" s="148"/>
      <c r="C50" s="148"/>
      <c r="D50" s="148"/>
      <c r="E50" s="148"/>
      <c r="F50" s="148"/>
      <c r="G50" s="148"/>
    </row>
    <row r="51" spans="2:7" ht="14.25">
      <c r="B51" s="181"/>
      <c r="C51" s="181"/>
      <c r="D51" s="181"/>
      <c r="E51" s="181"/>
      <c r="F51" s="181"/>
      <c r="G51" s="181"/>
    </row>
    <row r="52" spans="2:7" ht="14.25">
      <c r="B52" s="181"/>
      <c r="C52" s="181"/>
      <c r="D52" s="181"/>
      <c r="E52" s="181"/>
      <c r="F52" s="181"/>
      <c r="G52" s="181"/>
    </row>
    <row r="53" spans="2:7" ht="14.25">
      <c r="B53" s="181"/>
      <c r="C53" s="181"/>
      <c r="D53" s="181"/>
      <c r="E53" s="181"/>
      <c r="F53" s="181"/>
      <c r="G53" s="181"/>
    </row>
    <row r="54" spans="2:7" ht="14.25">
      <c r="B54" s="181"/>
      <c r="C54" s="181"/>
      <c r="D54" s="181"/>
      <c r="E54" s="181"/>
      <c r="F54" s="181"/>
      <c r="G54" s="181"/>
    </row>
    <row r="55" spans="2:7" ht="14.25">
      <c r="B55" s="181"/>
      <c r="C55" s="181"/>
      <c r="D55" s="181"/>
      <c r="E55" s="181"/>
      <c r="F55" s="181"/>
      <c r="G55" s="181"/>
    </row>
    <row r="56" spans="2:7" ht="14.25">
      <c r="B56" s="181"/>
      <c r="C56" s="181"/>
      <c r="D56" s="181"/>
      <c r="E56" s="181"/>
      <c r="F56" s="181"/>
      <c r="G56" s="181"/>
    </row>
    <row r="57" spans="2:7" ht="14.25">
      <c r="B57" s="181"/>
      <c r="C57" s="181"/>
      <c r="D57" s="181"/>
      <c r="E57" s="181"/>
      <c r="F57" s="181"/>
      <c r="G57" s="181"/>
    </row>
    <row r="58" spans="2:7" ht="14.25">
      <c r="B58" s="181"/>
      <c r="C58" s="181"/>
      <c r="D58" s="181"/>
      <c r="E58" s="181"/>
      <c r="F58" s="181"/>
      <c r="G58" s="181"/>
    </row>
    <row r="59" spans="2:7" ht="14.25">
      <c r="B59" s="181"/>
      <c r="C59" s="181"/>
      <c r="D59" s="181"/>
      <c r="E59" s="181"/>
      <c r="F59" s="181"/>
      <c r="G59" s="181"/>
    </row>
    <row r="60" spans="2:7" ht="14.25">
      <c r="B60" s="181"/>
      <c r="C60" s="181"/>
      <c r="D60" s="181"/>
      <c r="E60" s="181"/>
      <c r="F60" s="181"/>
      <c r="G60" s="181"/>
    </row>
    <row r="61" spans="2:7" ht="14.25">
      <c r="B61" s="181"/>
      <c r="C61" s="181"/>
      <c r="D61" s="181"/>
      <c r="E61" s="181"/>
      <c r="F61" s="181"/>
      <c r="G61" s="181"/>
    </row>
    <row r="62" spans="2:7" ht="14.25">
      <c r="B62" s="181"/>
      <c r="C62" s="181"/>
      <c r="D62" s="181"/>
      <c r="E62" s="181"/>
      <c r="F62" s="181"/>
      <c r="G62" s="181"/>
    </row>
    <row r="63" spans="2:7" ht="14.25">
      <c r="B63" s="181"/>
      <c r="C63" s="181"/>
      <c r="D63" s="181"/>
      <c r="E63" s="181"/>
      <c r="F63" s="181"/>
      <c r="G63" s="181"/>
    </row>
    <row r="64" spans="2:7" ht="14.25">
      <c r="B64" s="181"/>
      <c r="C64" s="181"/>
      <c r="D64" s="181"/>
      <c r="E64" s="181"/>
      <c r="F64" s="181"/>
      <c r="G64" s="181"/>
    </row>
    <row r="65" spans="2:7" ht="14.25">
      <c r="B65" s="181"/>
      <c r="C65" s="181"/>
      <c r="D65" s="181"/>
      <c r="E65" s="181"/>
      <c r="F65" s="181"/>
      <c r="G65" s="181"/>
    </row>
    <row r="66" spans="2:7" ht="14.25">
      <c r="B66" s="181"/>
      <c r="C66" s="181"/>
      <c r="D66" s="181"/>
      <c r="E66" s="181"/>
      <c r="F66" s="181"/>
      <c r="G66" s="181"/>
    </row>
    <row r="67" spans="2:7" ht="14.25">
      <c r="B67" s="181"/>
      <c r="C67" s="181"/>
      <c r="D67" s="181"/>
      <c r="E67" s="181"/>
      <c r="F67" s="181"/>
      <c r="G67" s="181"/>
    </row>
    <row r="68" spans="2:7" ht="14.25">
      <c r="B68" s="181"/>
      <c r="C68" s="181"/>
      <c r="D68" s="181"/>
      <c r="E68" s="181"/>
      <c r="F68" s="181"/>
      <c r="G68" s="181"/>
    </row>
    <row r="69" spans="2:7" ht="14.25">
      <c r="B69" s="181"/>
      <c r="C69" s="181"/>
      <c r="D69" s="181"/>
      <c r="E69" s="181"/>
      <c r="F69" s="181"/>
      <c r="G69" s="181"/>
    </row>
    <row r="70" spans="2:7" ht="14.25">
      <c r="B70" s="181"/>
      <c r="C70" s="181"/>
      <c r="D70" s="181"/>
      <c r="E70" s="181"/>
      <c r="F70" s="181"/>
      <c r="G70" s="181"/>
    </row>
    <row r="71" spans="2:7" ht="14.25">
      <c r="B71" s="181"/>
      <c r="C71" s="181"/>
      <c r="D71" s="181"/>
      <c r="E71" s="181"/>
      <c r="F71" s="181"/>
      <c r="G71" s="181"/>
    </row>
    <row r="72" spans="2:7" ht="14.25">
      <c r="B72" s="181"/>
      <c r="C72" s="181"/>
      <c r="D72" s="181"/>
      <c r="E72" s="181"/>
      <c r="F72" s="181"/>
      <c r="G72" s="181"/>
    </row>
    <row r="73" spans="2:7" ht="14.25">
      <c r="B73" s="181"/>
      <c r="C73" s="181"/>
      <c r="D73" s="181"/>
      <c r="E73" s="181"/>
      <c r="F73" s="181"/>
      <c r="G73" s="181"/>
    </row>
    <row r="74" spans="2:7" ht="14.25">
      <c r="B74" s="181"/>
      <c r="C74" s="181"/>
      <c r="D74" s="181"/>
      <c r="E74" s="181"/>
      <c r="F74" s="181"/>
      <c r="G74" s="181"/>
    </row>
    <row r="75" spans="2:7" ht="14.25">
      <c r="B75" s="181"/>
      <c r="C75" s="181"/>
      <c r="D75" s="181"/>
      <c r="E75" s="181"/>
      <c r="F75" s="181"/>
      <c r="G75" s="181"/>
    </row>
    <row r="76" spans="2:7" ht="14.25">
      <c r="B76" s="181"/>
      <c r="C76" s="181"/>
      <c r="D76" s="181"/>
      <c r="E76" s="181"/>
      <c r="F76" s="181"/>
      <c r="G76" s="181"/>
    </row>
    <row r="77" spans="2:7" ht="14.25">
      <c r="B77" s="181"/>
      <c r="C77" s="181"/>
      <c r="D77" s="181"/>
      <c r="E77" s="181"/>
      <c r="F77" s="181"/>
      <c r="G77" s="181"/>
    </row>
    <row r="78" spans="2:7" ht="14.25">
      <c r="B78" s="181"/>
      <c r="C78" s="181"/>
      <c r="D78" s="181"/>
      <c r="E78" s="181"/>
      <c r="F78" s="181"/>
      <c r="G78" s="181"/>
    </row>
    <row r="79" spans="2:7" ht="14.25">
      <c r="B79" s="181"/>
      <c r="C79" s="181"/>
      <c r="D79" s="181"/>
      <c r="E79" s="181"/>
      <c r="F79" s="181"/>
      <c r="G79" s="181"/>
    </row>
    <row r="80" spans="2:7" ht="14.25">
      <c r="B80" s="181"/>
      <c r="C80" s="181"/>
      <c r="D80" s="181"/>
      <c r="E80" s="181"/>
      <c r="F80" s="181"/>
      <c r="G80" s="181"/>
    </row>
    <row r="81" spans="2:7" ht="14.25">
      <c r="B81" s="181"/>
      <c r="C81" s="181"/>
      <c r="D81" s="181"/>
      <c r="E81" s="181"/>
      <c r="F81" s="181"/>
      <c r="G81" s="181"/>
    </row>
    <row r="82" spans="2:7" ht="14.25">
      <c r="B82" s="181"/>
      <c r="C82" s="181"/>
      <c r="D82" s="181"/>
      <c r="E82" s="181"/>
      <c r="F82" s="181"/>
      <c r="G82" s="181"/>
    </row>
    <row r="83" spans="2:7" ht="14.25">
      <c r="B83" s="181"/>
      <c r="C83" s="181"/>
      <c r="D83" s="181"/>
      <c r="E83" s="181"/>
      <c r="F83" s="181"/>
      <c r="G83" s="181"/>
    </row>
    <row r="84" spans="2:7" ht="14.25">
      <c r="B84" s="181"/>
      <c r="C84" s="181"/>
      <c r="D84" s="181"/>
      <c r="E84" s="181"/>
      <c r="F84" s="181"/>
      <c r="G84" s="181"/>
    </row>
    <row r="85" spans="2:7" ht="14.25">
      <c r="B85" s="181"/>
      <c r="C85" s="181"/>
      <c r="D85" s="181"/>
      <c r="E85" s="181"/>
      <c r="F85" s="181"/>
      <c r="G85" s="181"/>
    </row>
    <row r="86" spans="2:7" ht="14.25">
      <c r="B86" s="181"/>
      <c r="C86" s="181"/>
      <c r="D86" s="181"/>
      <c r="E86" s="181"/>
      <c r="F86" s="181"/>
      <c r="G86" s="181"/>
    </row>
    <row r="87" spans="2:7" ht="14.25">
      <c r="B87" s="181"/>
      <c r="C87" s="181"/>
      <c r="D87" s="181"/>
      <c r="E87" s="181"/>
      <c r="F87" s="181"/>
      <c r="G87" s="181"/>
    </row>
    <row r="88" spans="2:7" ht="14.25">
      <c r="B88" s="181"/>
      <c r="C88" s="181"/>
      <c r="D88" s="181"/>
      <c r="E88" s="181"/>
      <c r="F88" s="181"/>
      <c r="G88" s="181"/>
    </row>
    <row r="89" spans="2:7" ht="14.25">
      <c r="B89" s="181"/>
      <c r="C89" s="181"/>
      <c r="D89" s="181"/>
      <c r="E89" s="181"/>
      <c r="F89" s="181"/>
      <c r="G89" s="181"/>
    </row>
    <row r="90" spans="2:7" ht="14.25">
      <c r="B90" s="181"/>
      <c r="C90" s="181"/>
      <c r="D90" s="181"/>
      <c r="E90" s="181"/>
      <c r="F90" s="181"/>
      <c r="G90" s="181"/>
    </row>
    <row r="91" spans="2:7" ht="14.25">
      <c r="B91" s="181"/>
      <c r="C91" s="181"/>
      <c r="D91" s="181"/>
      <c r="E91" s="181"/>
      <c r="F91" s="181"/>
      <c r="G91" s="181"/>
    </row>
    <row r="92" spans="2:7" ht="14.25">
      <c r="B92" s="181"/>
      <c r="C92" s="181"/>
      <c r="D92" s="181"/>
      <c r="E92" s="181"/>
      <c r="F92" s="181"/>
      <c r="G92" s="181"/>
    </row>
    <row r="93" spans="2:7" ht="14.25">
      <c r="B93" s="181"/>
      <c r="C93" s="181"/>
      <c r="D93" s="181"/>
      <c r="E93" s="181"/>
      <c r="F93" s="181"/>
      <c r="G93" s="181"/>
    </row>
    <row r="94" spans="2:7" ht="14.25">
      <c r="B94" s="181"/>
      <c r="C94" s="181"/>
      <c r="D94" s="181"/>
      <c r="E94" s="181"/>
      <c r="F94" s="181"/>
      <c r="G94" s="181"/>
    </row>
    <row r="95" spans="2:7" ht="14.25">
      <c r="B95" s="181"/>
      <c r="C95" s="181"/>
      <c r="D95" s="181"/>
      <c r="E95" s="181"/>
      <c r="F95" s="181"/>
      <c r="G95" s="181"/>
    </row>
    <row r="96" spans="2:7" ht="14.25">
      <c r="B96" s="181"/>
      <c r="C96" s="181"/>
      <c r="D96" s="181"/>
      <c r="E96" s="181"/>
      <c r="F96" s="181"/>
      <c r="G96" s="181"/>
    </row>
    <row r="97" spans="2:7" ht="14.25">
      <c r="B97" s="181"/>
      <c r="C97" s="181"/>
      <c r="D97" s="181"/>
      <c r="E97" s="181"/>
      <c r="F97" s="181"/>
      <c r="G97" s="181"/>
    </row>
    <row r="98" spans="2:7" ht="14.25">
      <c r="B98" s="181"/>
      <c r="C98" s="181"/>
      <c r="D98" s="181"/>
      <c r="E98" s="181"/>
      <c r="F98" s="181"/>
      <c r="G98" s="181"/>
    </row>
    <row r="99" spans="2:7" ht="14.25">
      <c r="B99" s="181"/>
      <c r="C99" s="181"/>
      <c r="D99" s="181"/>
      <c r="E99" s="181"/>
      <c r="F99" s="181"/>
      <c r="G99" s="181"/>
    </row>
    <row r="100" spans="2:7" ht="14.25">
      <c r="B100" s="181"/>
      <c r="C100" s="181"/>
      <c r="D100" s="181"/>
      <c r="E100" s="181"/>
      <c r="F100" s="181"/>
      <c r="G100" s="181"/>
    </row>
    <row r="101" spans="2:7" ht="14.25">
      <c r="B101" s="181"/>
      <c r="C101" s="181"/>
      <c r="D101" s="181"/>
      <c r="E101" s="181"/>
      <c r="F101" s="181"/>
      <c r="G101" s="181"/>
    </row>
    <row r="102" spans="2:7" ht="14.25">
      <c r="B102" s="181"/>
      <c r="C102" s="181"/>
      <c r="D102" s="181"/>
      <c r="E102" s="181"/>
      <c r="F102" s="181"/>
      <c r="G102" s="181"/>
    </row>
    <row r="103" spans="2:7" ht="14.25">
      <c r="B103" s="181"/>
      <c r="C103" s="181"/>
      <c r="D103" s="181"/>
      <c r="E103" s="181"/>
      <c r="F103" s="181"/>
      <c r="G103" s="181"/>
    </row>
    <row r="104" spans="2:7" ht="14.25">
      <c r="B104" s="181"/>
      <c r="C104" s="181"/>
      <c r="D104" s="181"/>
      <c r="E104" s="181"/>
      <c r="F104" s="181"/>
      <c r="G104" s="181"/>
    </row>
  </sheetData>
  <sheetProtection/>
  <printOptions/>
  <pageMargins left="0.7" right="0.7" top="0.787401575" bottom="0.7874015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A12" sqref="AA12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227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10" ht="18" customHeight="1">
      <c r="A3" s="11"/>
      <c r="B3" s="23"/>
      <c r="C3" s="20"/>
      <c r="D3" s="17"/>
      <c r="E3" s="17"/>
      <c r="F3" s="17"/>
      <c r="G3" s="46" t="s">
        <v>17</v>
      </c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10" ht="18" customHeight="1" thickBot="1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193">
        <v>43263</v>
      </c>
    </row>
    <row r="6" spans="1:10" ht="18" customHeight="1" thickTop="1">
      <c r="A6" s="11"/>
      <c r="B6" s="55" t="s">
        <v>21</v>
      </c>
      <c r="C6" s="51"/>
      <c r="D6" s="52"/>
      <c r="E6" s="52"/>
      <c r="F6" s="52"/>
      <c r="G6" s="56" t="s">
        <v>22</v>
      </c>
      <c r="H6" s="52"/>
      <c r="I6" s="53"/>
      <c r="J6" s="54"/>
    </row>
    <row r="7" spans="1:10" ht="18" customHeight="1">
      <c r="A7" s="11"/>
      <c r="B7" s="47"/>
      <c r="C7" s="48"/>
      <c r="D7" s="18"/>
      <c r="E7" s="18"/>
      <c r="F7" s="18"/>
      <c r="G7" s="57" t="s">
        <v>23</v>
      </c>
      <c r="H7" s="18"/>
      <c r="I7" s="29"/>
      <c r="J7" s="49"/>
    </row>
    <row r="8" spans="1:10" ht="18" customHeight="1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10" ht="18" customHeight="1">
      <c r="A10" s="11"/>
      <c r="B10" s="45" t="s">
        <v>25</v>
      </c>
      <c r="C10" s="20"/>
      <c r="D10" s="17"/>
      <c r="E10" s="17"/>
      <c r="F10" s="17"/>
      <c r="G10" s="46" t="s">
        <v>26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6" t="s">
        <v>27</v>
      </c>
      <c r="H11" s="17"/>
      <c r="I11" s="28"/>
      <c r="J11" s="32"/>
    </row>
    <row r="12" spans="1:10" ht="18" customHeight="1" thickTop="1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10" ht="18" customHeight="1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0" t="s">
        <v>28</v>
      </c>
      <c r="C15" s="91" t="s">
        <v>6</v>
      </c>
      <c r="D15" s="91" t="s">
        <v>56</v>
      </c>
      <c r="E15" s="92" t="s">
        <v>57</v>
      </c>
      <c r="F15" s="104" t="s">
        <v>58</v>
      </c>
      <c r="G15" s="58" t="s">
        <v>33</v>
      </c>
      <c r="H15" s="61" t="s">
        <v>34</v>
      </c>
      <c r="I15" s="27"/>
      <c r="J15" s="54"/>
    </row>
    <row r="16" spans="1:10" ht="18" customHeight="1">
      <c r="A16" s="11"/>
      <c r="B16" s="93">
        <v>1</v>
      </c>
      <c r="C16" s="94" t="s">
        <v>29</v>
      </c>
      <c r="D16" s="95">
        <f>'Kryci_list 15753'!D16+'Kryci_list 15761'!D16</f>
        <v>0</v>
      </c>
      <c r="E16" s="96">
        <f>'Kryci_list 15753'!E16+'Kryci_list 15761'!E16</f>
        <v>0</v>
      </c>
      <c r="F16" s="105">
        <f>'Kryci_list 15753'!F16+'Kryci_list 15761'!F16</f>
        <v>0</v>
      </c>
      <c r="G16" s="59">
        <v>6</v>
      </c>
      <c r="H16" s="114" t="s">
        <v>35</v>
      </c>
      <c r="I16" s="128"/>
      <c r="J16" s="125">
        <f>Rekapitulácia!F9</f>
        <v>0</v>
      </c>
    </row>
    <row r="17" spans="1:10" ht="18" customHeight="1">
      <c r="A17" s="11"/>
      <c r="B17" s="66">
        <v>2</v>
      </c>
      <c r="C17" s="70" t="s">
        <v>30</v>
      </c>
      <c r="D17" s="77">
        <f>'Kryci_list 15753'!D17+'Kryci_list 15761'!D17</f>
        <v>0</v>
      </c>
      <c r="E17" s="75">
        <f>'Kryci_list 15753'!E17+'Kryci_list 15761'!E17</f>
        <v>0</v>
      </c>
      <c r="F17" s="80">
        <f>'Kryci_list 15753'!F17+'Kryci_list 15761'!F17</f>
        <v>0</v>
      </c>
      <c r="G17" s="60">
        <v>7</v>
      </c>
      <c r="H17" s="115" t="s">
        <v>36</v>
      </c>
      <c r="I17" s="128"/>
      <c r="J17" s="126">
        <f>Rekapitulácia!E9</f>
        <v>0</v>
      </c>
    </row>
    <row r="18" spans="1:10" ht="18" customHeight="1">
      <c r="A18" s="11"/>
      <c r="B18" s="67">
        <v>3</v>
      </c>
      <c r="C18" s="71" t="s">
        <v>31</v>
      </c>
      <c r="D18" s="78">
        <f>'Kryci_list 15753'!D18+'Kryci_list 15761'!D18</f>
        <v>0</v>
      </c>
      <c r="E18" s="76">
        <f>'Kryci_list 15753'!E18+'Kryci_list 15761'!E18</f>
        <v>0</v>
      </c>
      <c r="F18" s="81">
        <f>'Kryci_list 15753'!F18+'Kryci_list 15761'!F18</f>
        <v>0</v>
      </c>
      <c r="G18" s="60">
        <v>8</v>
      </c>
      <c r="H18" s="115" t="s">
        <v>37</v>
      </c>
      <c r="I18" s="128"/>
      <c r="J18" s="126">
        <f>Rekapitulácia!D9</f>
        <v>0</v>
      </c>
    </row>
    <row r="19" spans="1:10" ht="18" customHeight="1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10" ht="18" customHeight="1" thickBot="1">
      <c r="A20" s="11"/>
      <c r="B20" s="67">
        <v>5</v>
      </c>
      <c r="C20" s="73" t="s">
        <v>32</v>
      </c>
      <c r="D20" s="79"/>
      <c r="E20" s="99"/>
      <c r="F20" s="106">
        <f>SUM(F16:F19)</f>
        <v>0</v>
      </c>
      <c r="G20" s="60">
        <v>10</v>
      </c>
      <c r="H20" s="115" t="s">
        <v>32</v>
      </c>
      <c r="I20" s="130"/>
      <c r="J20" s="98">
        <f>SUM(J16:J19)</f>
        <v>0</v>
      </c>
    </row>
    <row r="21" spans="1:10" ht="18" customHeight="1" thickTop="1">
      <c r="A21" s="11"/>
      <c r="B21" s="64" t="s">
        <v>44</v>
      </c>
      <c r="C21" s="68" t="s">
        <v>7</v>
      </c>
      <c r="D21" s="74"/>
      <c r="E21" s="19"/>
      <c r="F21" s="97"/>
      <c r="G21" s="64" t="s">
        <v>52</v>
      </c>
      <c r="H21" s="61" t="s">
        <v>7</v>
      </c>
      <c r="I21" s="29"/>
      <c r="J21" s="131"/>
    </row>
    <row r="22" spans="1:10" ht="18" customHeight="1">
      <c r="A22" s="11"/>
      <c r="B22" s="59">
        <v>11</v>
      </c>
      <c r="C22" s="62" t="s">
        <v>45</v>
      </c>
      <c r="D22" s="86"/>
      <c r="E22" s="89"/>
      <c r="F22" s="80">
        <f>'Kryci_list 15753'!F22+'Kryci_list 15761'!F22</f>
        <v>0</v>
      </c>
      <c r="G22" s="59">
        <v>16</v>
      </c>
      <c r="H22" s="114" t="s">
        <v>53</v>
      </c>
      <c r="I22" s="128"/>
      <c r="J22" s="125">
        <f>'Kryci_list 15753'!J22+'Kryci_list 15761'!J22</f>
        <v>0</v>
      </c>
    </row>
    <row r="23" spans="1:10" ht="18" customHeight="1">
      <c r="A23" s="11"/>
      <c r="B23" s="60">
        <v>12</v>
      </c>
      <c r="C23" s="63" t="s">
        <v>46</v>
      </c>
      <c r="D23" s="65"/>
      <c r="E23" s="89"/>
      <c r="F23" s="81">
        <f>'Kryci_list 15753'!F23+'Kryci_list 15761'!F23</f>
        <v>0</v>
      </c>
      <c r="G23" s="60">
        <v>17</v>
      </c>
      <c r="H23" s="115" t="s">
        <v>54</v>
      </c>
      <c r="I23" s="128"/>
      <c r="J23" s="126">
        <f>'Kryci_list 15753'!J23+'Kryci_list 15761'!J23</f>
        <v>0</v>
      </c>
    </row>
    <row r="24" spans="1:10" ht="18" customHeight="1">
      <c r="A24" s="11"/>
      <c r="B24" s="60">
        <v>13</v>
      </c>
      <c r="C24" s="63" t="s">
        <v>47</v>
      </c>
      <c r="D24" s="65"/>
      <c r="E24" s="89"/>
      <c r="F24" s="81">
        <f>'Kryci_list 15753'!F24+'Kryci_list 15761'!F24</f>
        <v>0</v>
      </c>
      <c r="G24" s="60">
        <v>18</v>
      </c>
      <c r="H24" s="115" t="s">
        <v>55</v>
      </c>
      <c r="I24" s="128"/>
      <c r="J24" s="126">
        <f>'Kryci_list 15753'!J24+'Kryci_list 15761'!J24</f>
        <v>0</v>
      </c>
    </row>
    <row r="25" spans="1:10" ht="18" customHeight="1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6"/>
    </row>
    <row r="26" spans="1:10" ht="18" customHeight="1" thickBot="1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32</v>
      </c>
      <c r="I26" s="130"/>
      <c r="J26" s="98">
        <f>SUM(J22:J25)+SUM(F22:F25)</f>
        <v>0</v>
      </c>
    </row>
    <row r="27" spans="1:10" ht="18" customHeight="1" thickTop="1">
      <c r="A27" s="11"/>
      <c r="B27" s="100"/>
      <c r="C27" s="142" t="s">
        <v>61</v>
      </c>
      <c r="D27" s="135"/>
      <c r="E27" s="101"/>
      <c r="F27" s="30"/>
      <c r="G27" s="108" t="s">
        <v>38</v>
      </c>
      <c r="H27" s="103" t="s">
        <v>39</v>
      </c>
      <c r="I27" s="29"/>
      <c r="J27" s="33"/>
    </row>
    <row r="28" spans="1:10" ht="18" customHeight="1">
      <c r="A28" s="11"/>
      <c r="B28" s="26"/>
      <c r="C28" s="133"/>
      <c r="D28" s="136"/>
      <c r="E28" s="22"/>
      <c r="F28" s="11"/>
      <c r="G28" s="109">
        <v>21</v>
      </c>
      <c r="H28" s="113" t="s">
        <v>40</v>
      </c>
      <c r="I28" s="121"/>
      <c r="J28" s="117">
        <f>F20+J20+F26+J26</f>
        <v>0</v>
      </c>
    </row>
    <row r="29" spans="1:10" ht="18" customHeight="1">
      <c r="A29" s="11"/>
      <c r="B29" s="82"/>
      <c r="C29" s="134"/>
      <c r="D29" s="137"/>
      <c r="E29" s="22"/>
      <c r="F29" s="11"/>
      <c r="G29" s="59">
        <v>22</v>
      </c>
      <c r="H29" s="114" t="s">
        <v>41</v>
      </c>
      <c r="I29" s="122">
        <f>Rekapitulácia!B10</f>
        <v>0</v>
      </c>
      <c r="J29" s="118">
        <f>ROUND(((ROUND(I29,2)*20)/100),2)*1</f>
        <v>0</v>
      </c>
    </row>
    <row r="30" spans="1:10" ht="18" customHeight="1">
      <c r="A30" s="11"/>
      <c r="B30" s="23"/>
      <c r="C30" s="124"/>
      <c r="D30" s="128"/>
      <c r="E30" s="22"/>
      <c r="F30" s="11"/>
      <c r="G30" s="60">
        <v>23</v>
      </c>
      <c r="H30" s="115" t="s">
        <v>42</v>
      </c>
      <c r="I30" s="88">
        <f>Rekapitulácia!B11</f>
        <v>0</v>
      </c>
      <c r="J30" s="119">
        <f>ROUND(((ROUND(I30,2)*0)/100),2)</f>
        <v>0</v>
      </c>
    </row>
    <row r="31" spans="1:10" ht="18" customHeight="1">
      <c r="A31" s="11"/>
      <c r="B31" s="24"/>
      <c r="C31" s="138"/>
      <c r="D31" s="139"/>
      <c r="E31" s="22"/>
      <c r="F31" s="11"/>
      <c r="G31" s="60">
        <v>24</v>
      </c>
      <c r="H31" s="115" t="s">
        <v>32</v>
      </c>
      <c r="I31" s="28"/>
      <c r="J31" s="192">
        <f>SUM(J28:J30)</f>
        <v>0</v>
      </c>
    </row>
    <row r="32" spans="1:10" ht="18" customHeight="1" thickBot="1">
      <c r="A32" s="11"/>
      <c r="B32" s="47"/>
      <c r="C32" s="116"/>
      <c r="D32" s="123"/>
      <c r="E32" s="83"/>
      <c r="F32" s="84"/>
      <c r="G32" s="188" t="s">
        <v>43</v>
      </c>
      <c r="H32" s="189"/>
      <c r="I32" s="190"/>
      <c r="J32" s="191"/>
    </row>
    <row r="33" spans="1:10" ht="18" customHeight="1" thickTop="1">
      <c r="A33" s="11"/>
      <c r="B33" s="100"/>
      <c r="C33" s="101"/>
      <c r="D33" s="140" t="s">
        <v>59</v>
      </c>
      <c r="E33" s="15"/>
      <c r="F33" s="15"/>
      <c r="G33" s="14"/>
      <c r="H33" s="140" t="s">
        <v>60</v>
      </c>
      <c r="I33" s="30"/>
      <c r="J33" s="34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87401575" bottom="0.7874015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AD13" sqref="AD13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10" ht="18" customHeight="1">
      <c r="A3" s="11"/>
      <c r="B3" s="40" t="s">
        <v>16</v>
      </c>
      <c r="C3" s="41"/>
      <c r="D3" s="42"/>
      <c r="E3" s="42"/>
      <c r="F3" s="42"/>
      <c r="G3" s="17"/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10" ht="18" customHeight="1" thickBot="1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193">
        <v>43263</v>
      </c>
    </row>
    <row r="6" spans="1:10" ht="18" customHeight="1" thickTop="1">
      <c r="A6" s="11"/>
      <c r="B6" s="55" t="s">
        <v>21</v>
      </c>
      <c r="C6" s="51"/>
      <c r="D6" s="52"/>
      <c r="E6" s="52"/>
      <c r="F6" s="52"/>
      <c r="G6" s="56" t="s">
        <v>22</v>
      </c>
      <c r="H6" s="52"/>
      <c r="I6" s="53"/>
      <c r="J6" s="54"/>
    </row>
    <row r="7" spans="1:10" ht="18" customHeight="1">
      <c r="A7" s="11"/>
      <c r="B7" s="47"/>
      <c r="C7" s="48"/>
      <c r="D7" s="18"/>
      <c r="E7" s="18"/>
      <c r="F7" s="18"/>
      <c r="G7" s="57" t="s">
        <v>23</v>
      </c>
      <c r="H7" s="18"/>
      <c r="I7" s="29"/>
      <c r="J7" s="49"/>
    </row>
    <row r="8" spans="1:10" ht="18" customHeight="1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10" ht="18" customHeight="1">
      <c r="A10" s="11"/>
      <c r="B10" s="45" t="s">
        <v>25</v>
      </c>
      <c r="C10" s="20"/>
      <c r="D10" s="17"/>
      <c r="E10" s="17"/>
      <c r="F10" s="17"/>
      <c r="G10" s="46" t="s">
        <v>26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6" t="s">
        <v>27</v>
      </c>
      <c r="H11" s="17"/>
      <c r="I11" s="28"/>
      <c r="J11" s="32"/>
    </row>
    <row r="12" spans="1:10" ht="18" customHeight="1" thickTop="1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10" ht="18" customHeight="1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0" t="s">
        <v>28</v>
      </c>
      <c r="C15" s="91" t="s">
        <v>6</v>
      </c>
      <c r="D15" s="91" t="s">
        <v>56</v>
      </c>
      <c r="E15" s="92" t="s">
        <v>57</v>
      </c>
      <c r="F15" s="104" t="s">
        <v>58</v>
      </c>
      <c r="G15" s="58" t="s">
        <v>33</v>
      </c>
      <c r="H15" s="61" t="s">
        <v>34</v>
      </c>
      <c r="I15" s="27"/>
      <c r="J15" s="54"/>
    </row>
    <row r="16" spans="1:10" ht="18" customHeight="1">
      <c r="A16" s="11"/>
      <c r="B16" s="93">
        <v>1</v>
      </c>
      <c r="C16" s="94" t="s">
        <v>29</v>
      </c>
      <c r="D16" s="95">
        <f>'Rekap 15753'!B16</f>
        <v>0</v>
      </c>
      <c r="E16" s="96">
        <f>'Rekap 15753'!C16</f>
        <v>0</v>
      </c>
      <c r="F16" s="105">
        <f>'Rekap 15753'!D16</f>
        <v>0</v>
      </c>
      <c r="G16" s="59">
        <v>6</v>
      </c>
      <c r="H16" s="114" t="s">
        <v>35</v>
      </c>
      <c r="I16" s="128"/>
      <c r="J16" s="125">
        <v>0</v>
      </c>
    </row>
    <row r="17" spans="1:10" ht="18" customHeight="1">
      <c r="A17" s="11"/>
      <c r="B17" s="66">
        <v>2</v>
      </c>
      <c r="C17" s="70" t="s">
        <v>30</v>
      </c>
      <c r="D17" s="77">
        <f>'Rekap 15753'!B22</f>
        <v>0</v>
      </c>
      <c r="E17" s="75">
        <f>'Rekap 15753'!C22</f>
        <v>0</v>
      </c>
      <c r="F17" s="80">
        <f>'Rekap 15753'!D22</f>
        <v>0</v>
      </c>
      <c r="G17" s="60">
        <v>7</v>
      </c>
      <c r="H17" s="115" t="s">
        <v>36</v>
      </c>
      <c r="I17" s="128"/>
      <c r="J17" s="126">
        <f>'SO 15753'!Z79</f>
        <v>0</v>
      </c>
    </row>
    <row r="18" spans="1:10" ht="18" customHeight="1">
      <c r="A18" s="11"/>
      <c r="B18" s="67">
        <v>3</v>
      </c>
      <c r="C18" s="71" t="s">
        <v>31</v>
      </c>
      <c r="D18" s="78">
        <f>'Rekap 15753'!B26</f>
        <v>0</v>
      </c>
      <c r="E18" s="76">
        <f>'Rekap 15753'!C26</f>
        <v>0</v>
      </c>
      <c r="F18" s="81">
        <f>'Rekap 15753'!D26</f>
        <v>0</v>
      </c>
      <c r="G18" s="60">
        <v>8</v>
      </c>
      <c r="H18" s="115" t="s">
        <v>37</v>
      </c>
      <c r="I18" s="128"/>
      <c r="J18" s="126">
        <v>0</v>
      </c>
    </row>
    <row r="19" spans="1:10" ht="18" customHeight="1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10" ht="18" customHeight="1" thickBot="1">
      <c r="A20" s="11"/>
      <c r="B20" s="67">
        <v>5</v>
      </c>
      <c r="C20" s="73" t="s">
        <v>32</v>
      </c>
      <c r="D20" s="79"/>
      <c r="E20" s="99"/>
      <c r="F20" s="106">
        <f>SUM(F16:F19)</f>
        <v>0</v>
      </c>
      <c r="G20" s="60">
        <v>10</v>
      </c>
      <c r="H20" s="115" t="s">
        <v>32</v>
      </c>
      <c r="I20" s="130"/>
      <c r="J20" s="98">
        <f>SUM(J16:J19)</f>
        <v>0</v>
      </c>
    </row>
    <row r="21" spans="1:10" ht="18" customHeight="1" thickTop="1">
      <c r="A21" s="11"/>
      <c r="B21" s="64" t="s">
        <v>44</v>
      </c>
      <c r="C21" s="68" t="s">
        <v>7</v>
      </c>
      <c r="D21" s="74"/>
      <c r="E21" s="19"/>
      <c r="F21" s="97"/>
      <c r="G21" s="64" t="s">
        <v>52</v>
      </c>
      <c r="H21" s="61" t="s">
        <v>7</v>
      </c>
      <c r="I21" s="29"/>
      <c r="J21" s="131"/>
    </row>
    <row r="22" spans="1:26" ht="18" customHeight="1">
      <c r="A22" s="11"/>
      <c r="B22" s="59">
        <v>11</v>
      </c>
      <c r="C22" s="62" t="s">
        <v>45</v>
      </c>
      <c r="D22" s="86"/>
      <c r="E22" s="88" t="s">
        <v>48</v>
      </c>
      <c r="F22" s="80">
        <f>((F16*U22*3)+(F17*V22*3)+(F18*W22*3))/100</f>
        <v>0</v>
      </c>
      <c r="G22" s="59">
        <v>16</v>
      </c>
      <c r="H22" s="114" t="s">
        <v>53</v>
      </c>
      <c r="I22" s="129" t="s">
        <v>50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0">
        <v>12</v>
      </c>
      <c r="C23" s="63" t="s">
        <v>46</v>
      </c>
      <c r="D23" s="65"/>
      <c r="E23" s="88" t="s">
        <v>49</v>
      </c>
      <c r="F23" s="81">
        <f>((F16*U23*0)+(F17*V23*0)+(F18*W23*0))/100</f>
        <v>0</v>
      </c>
      <c r="G23" s="60">
        <v>17</v>
      </c>
      <c r="H23" s="115" t="s">
        <v>54</v>
      </c>
      <c r="I23" s="129" t="s">
        <v>50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0">
        <v>13</v>
      </c>
      <c r="C24" s="63" t="s">
        <v>47</v>
      </c>
      <c r="D24" s="65"/>
      <c r="E24" s="88" t="s">
        <v>50</v>
      </c>
      <c r="F24" s="81">
        <f>((F16*U24*0)+(F17*V24*0)+(F18*W24*0))/100</f>
        <v>0</v>
      </c>
      <c r="G24" s="60">
        <v>18</v>
      </c>
      <c r="H24" s="115" t="s">
        <v>55</v>
      </c>
      <c r="I24" s="129" t="s">
        <v>51</v>
      </c>
      <c r="J24" s="126">
        <f>((F16*X24*3)+(F17*Y24*3)+(F18*Z24*3))/100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10" ht="18" customHeight="1" thickBot="1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32</v>
      </c>
      <c r="I26" s="130"/>
      <c r="J26" s="98">
        <f>SUM(J22:J25)+SUM(F22:F25)</f>
        <v>0</v>
      </c>
    </row>
    <row r="27" spans="1:10" ht="18" customHeight="1" thickTop="1">
      <c r="A27" s="11"/>
      <c r="B27" s="100"/>
      <c r="C27" s="142" t="s">
        <v>61</v>
      </c>
      <c r="D27" s="135"/>
      <c r="E27" s="101"/>
      <c r="F27" s="30"/>
      <c r="G27" s="108" t="s">
        <v>38</v>
      </c>
      <c r="H27" s="103" t="s">
        <v>39</v>
      </c>
      <c r="I27" s="29"/>
      <c r="J27" s="33"/>
    </row>
    <row r="28" spans="1:10" ht="18" customHeight="1">
      <c r="A28" s="11"/>
      <c r="B28" s="26"/>
      <c r="C28" s="133"/>
      <c r="D28" s="136"/>
      <c r="E28" s="22"/>
      <c r="F28" s="11"/>
      <c r="G28" s="109">
        <v>21</v>
      </c>
      <c r="H28" s="113" t="s">
        <v>40</v>
      </c>
      <c r="I28" s="121"/>
      <c r="J28" s="117">
        <f>F20+J20+F26+J26</f>
        <v>0</v>
      </c>
    </row>
    <row r="29" spans="1:10" ht="18" customHeight="1">
      <c r="A29" s="11"/>
      <c r="B29" s="82"/>
      <c r="C29" s="134"/>
      <c r="D29" s="137"/>
      <c r="E29" s="22"/>
      <c r="F29" s="11"/>
      <c r="G29" s="59">
        <v>22</v>
      </c>
      <c r="H29" s="114" t="s">
        <v>41</v>
      </c>
      <c r="I29" s="122">
        <f>J28-SUM('SO 15753'!K9:'SO 15753'!K78)</f>
        <v>0</v>
      </c>
      <c r="J29" s="118">
        <f>ROUND(((ROUND(I29,2)*20)*1/100),2)</f>
        <v>0</v>
      </c>
    </row>
    <row r="30" spans="1:10" ht="18" customHeight="1">
      <c r="A30" s="11"/>
      <c r="B30" s="23"/>
      <c r="C30" s="124"/>
      <c r="D30" s="128"/>
      <c r="E30" s="22"/>
      <c r="F30" s="11"/>
      <c r="G30" s="60">
        <v>23</v>
      </c>
      <c r="H30" s="115" t="s">
        <v>42</v>
      </c>
      <c r="I30" s="88">
        <f>SUM('SO 15753'!K9:'SO 15753'!K78)</f>
        <v>0</v>
      </c>
      <c r="J30" s="119">
        <f>ROUND(((ROUND(I30,2)*0)/100),2)</f>
        <v>0</v>
      </c>
    </row>
    <row r="31" spans="1:10" ht="18" customHeight="1">
      <c r="A31" s="11"/>
      <c r="B31" s="24"/>
      <c r="C31" s="138"/>
      <c r="D31" s="139"/>
      <c r="E31" s="22"/>
      <c r="F31" s="11"/>
      <c r="G31" s="109">
        <v>24</v>
      </c>
      <c r="H31" s="113" t="s">
        <v>32</v>
      </c>
      <c r="I31" s="112"/>
      <c r="J31" s="132">
        <f>SUM(J28:J30)</f>
        <v>0</v>
      </c>
    </row>
    <row r="32" spans="1:10" ht="18" customHeight="1" thickBot="1">
      <c r="A32" s="11"/>
      <c r="B32" s="47"/>
      <c r="C32" s="116"/>
      <c r="D32" s="123"/>
      <c r="E32" s="83"/>
      <c r="F32" s="84"/>
      <c r="G32" s="59" t="s">
        <v>43</v>
      </c>
      <c r="H32" s="116"/>
      <c r="I32" s="123"/>
      <c r="J32" s="120"/>
    </row>
    <row r="33" spans="1:10" ht="18" customHeight="1" thickTop="1">
      <c r="A33" s="11"/>
      <c r="B33" s="100"/>
      <c r="C33" s="101"/>
      <c r="D33" s="140" t="s">
        <v>59</v>
      </c>
      <c r="E33" s="15"/>
      <c r="F33" s="102"/>
      <c r="G33" s="110">
        <v>26</v>
      </c>
      <c r="H33" s="141" t="s">
        <v>60</v>
      </c>
      <c r="I33" s="30"/>
      <c r="J33" s="111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87401575" bottom="0.7874015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4.25">
      <c r="A1" s="144" t="s">
        <v>21</v>
      </c>
      <c r="B1" s="143"/>
      <c r="C1" s="143"/>
      <c r="D1" s="144" t="s">
        <v>19</v>
      </c>
      <c r="E1" s="143"/>
      <c r="F1" s="143"/>
      <c r="W1">
        <v>30.126</v>
      </c>
    </row>
    <row r="2" spans="1:6" ht="14.25">
      <c r="A2" s="144" t="s">
        <v>25</v>
      </c>
      <c r="B2" s="143"/>
      <c r="C2" s="143"/>
      <c r="D2" s="144" t="s">
        <v>17</v>
      </c>
      <c r="E2" s="143"/>
      <c r="F2" s="143"/>
    </row>
    <row r="3" spans="1:6" ht="14.25">
      <c r="A3" s="144" t="s">
        <v>24</v>
      </c>
      <c r="B3" s="143"/>
      <c r="C3" s="143"/>
      <c r="D3" s="144" t="s">
        <v>228</v>
      </c>
      <c r="E3" s="143"/>
      <c r="F3" s="143"/>
    </row>
    <row r="4" spans="1:6" ht="14.25">
      <c r="A4" s="144" t="s">
        <v>1</v>
      </c>
      <c r="B4" s="143"/>
      <c r="C4" s="143"/>
      <c r="D4" s="143"/>
      <c r="E4" s="143"/>
      <c r="F4" s="143"/>
    </row>
    <row r="5" spans="1:6" ht="14.25">
      <c r="A5" s="144" t="s">
        <v>16</v>
      </c>
      <c r="B5" s="143"/>
      <c r="C5" s="143"/>
      <c r="D5" s="143"/>
      <c r="E5" s="143"/>
      <c r="F5" s="143"/>
    </row>
    <row r="6" spans="1:6" ht="14.25">
      <c r="A6" s="143"/>
      <c r="B6" s="143"/>
      <c r="C6" s="143"/>
      <c r="D6" s="143"/>
      <c r="E6" s="143"/>
      <c r="F6" s="143"/>
    </row>
    <row r="7" spans="1:6" ht="14.25">
      <c r="A7" s="143"/>
      <c r="B7" s="143"/>
      <c r="C7" s="143"/>
      <c r="D7" s="143"/>
      <c r="E7" s="143"/>
      <c r="F7" s="143"/>
    </row>
    <row r="8" spans="1:6" ht="14.25">
      <c r="A8" s="145" t="s">
        <v>65</v>
      </c>
      <c r="B8" s="143"/>
      <c r="C8" s="143"/>
      <c r="D8" s="143"/>
      <c r="E8" s="143"/>
      <c r="F8" s="143"/>
    </row>
    <row r="9" spans="1:6" ht="14.25">
      <c r="A9" s="146" t="s">
        <v>62</v>
      </c>
      <c r="B9" s="146" t="s">
        <v>56</v>
      </c>
      <c r="C9" s="146" t="s">
        <v>57</v>
      </c>
      <c r="D9" s="146" t="s">
        <v>32</v>
      </c>
      <c r="E9" s="146" t="s">
        <v>63</v>
      </c>
      <c r="F9" s="146" t="s">
        <v>64</v>
      </c>
    </row>
    <row r="10" spans="1:26" ht="14.25">
      <c r="A10" s="153" t="s">
        <v>66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ht="14.25">
      <c r="A11" s="155" t="s">
        <v>67</v>
      </c>
      <c r="B11" s="156">
        <f>'SO 15753'!L18</f>
        <v>0</v>
      </c>
      <c r="C11" s="156">
        <f>'SO 15753'!M18</f>
        <v>0</v>
      </c>
      <c r="D11" s="156">
        <f>'SO 15753'!I18</f>
        <v>0</v>
      </c>
      <c r="E11" s="157">
        <f>'SO 15753'!P18</f>
        <v>0</v>
      </c>
      <c r="F11" s="157">
        <f>'SO 15753'!S18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ht="14.25">
      <c r="A12" s="155" t="s">
        <v>68</v>
      </c>
      <c r="B12" s="156">
        <f>'SO 15753'!L28</f>
        <v>0</v>
      </c>
      <c r="C12" s="156">
        <f>'SO 15753'!M28</f>
        <v>0</v>
      </c>
      <c r="D12" s="156">
        <f>'SO 15753'!I28</f>
        <v>0</v>
      </c>
      <c r="E12" s="157">
        <f>'SO 15753'!P28</f>
        <v>92.01</v>
      </c>
      <c r="F12" s="157">
        <f>'SO 15753'!S28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14.25">
      <c r="A13" s="155" t="s">
        <v>69</v>
      </c>
      <c r="B13" s="156">
        <f>'SO 15753'!L33</f>
        <v>0</v>
      </c>
      <c r="C13" s="156">
        <f>'SO 15753'!M33</f>
        <v>0</v>
      </c>
      <c r="D13" s="156">
        <f>'SO 15753'!I33</f>
        <v>0</v>
      </c>
      <c r="E13" s="157">
        <f>'SO 15753'!P33</f>
        <v>22.65</v>
      </c>
      <c r="F13" s="157">
        <f>'SO 15753'!S33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ht="14.25">
      <c r="A14" s="155" t="s">
        <v>70</v>
      </c>
      <c r="B14" s="156">
        <f>'SO 15753'!L38</f>
        <v>0</v>
      </c>
      <c r="C14" s="156">
        <f>'SO 15753'!M38</f>
        <v>0</v>
      </c>
      <c r="D14" s="156">
        <f>'SO 15753'!I38</f>
        <v>0</v>
      </c>
      <c r="E14" s="157">
        <f>'SO 15753'!P38</f>
        <v>0.01</v>
      </c>
      <c r="F14" s="157">
        <f>'SO 15753'!S38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14.25">
      <c r="A15" s="155" t="s">
        <v>71</v>
      </c>
      <c r="B15" s="156">
        <f>'SO 15753'!L43</f>
        <v>0</v>
      </c>
      <c r="C15" s="156">
        <f>'SO 15753'!M43</f>
        <v>0</v>
      </c>
      <c r="D15" s="156">
        <f>'SO 15753'!I43</f>
        <v>0</v>
      </c>
      <c r="E15" s="157">
        <f>'SO 15753'!P43</f>
        <v>0</v>
      </c>
      <c r="F15" s="157">
        <f>'SO 15753'!S43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ht="14.25">
      <c r="A16" s="2" t="s">
        <v>66</v>
      </c>
      <c r="B16" s="158">
        <f>'SO 15753'!L45</f>
        <v>0</v>
      </c>
      <c r="C16" s="158">
        <f>'SO 15753'!M45</f>
        <v>0</v>
      </c>
      <c r="D16" s="158">
        <f>'SO 15753'!I45</f>
        <v>0</v>
      </c>
      <c r="E16" s="159">
        <f>'SO 15753'!P45</f>
        <v>114.67</v>
      </c>
      <c r="F16" s="159">
        <f>'SO 15753'!S45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6" ht="14.25">
      <c r="A17" s="1"/>
      <c r="B17" s="148"/>
      <c r="C17" s="148"/>
      <c r="D17" s="148"/>
      <c r="E17" s="147"/>
      <c r="F17" s="147"/>
    </row>
    <row r="18" spans="1:26" ht="14.25">
      <c r="A18" s="2" t="s">
        <v>72</v>
      </c>
      <c r="B18" s="158"/>
      <c r="C18" s="156"/>
      <c r="D18" s="156"/>
      <c r="E18" s="157"/>
      <c r="F18" s="157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ht="14.25">
      <c r="A19" s="155" t="s">
        <v>73</v>
      </c>
      <c r="B19" s="156">
        <f>'SO 15753'!L55</f>
        <v>0</v>
      </c>
      <c r="C19" s="156">
        <f>'SO 15753'!M55</f>
        <v>0</v>
      </c>
      <c r="D19" s="156">
        <f>'SO 15753'!I55</f>
        <v>0</v>
      </c>
      <c r="E19" s="157">
        <f>'SO 15753'!P55</f>
        <v>0.44</v>
      </c>
      <c r="F19" s="157">
        <f>'SO 15753'!S55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ht="14.25">
      <c r="A20" s="155" t="s">
        <v>74</v>
      </c>
      <c r="B20" s="156">
        <f>'SO 15753'!L60</f>
        <v>0</v>
      </c>
      <c r="C20" s="156">
        <f>'SO 15753'!M60</f>
        <v>0</v>
      </c>
      <c r="D20" s="156">
        <f>'SO 15753'!I60</f>
        <v>0</v>
      </c>
      <c r="E20" s="157">
        <f>'SO 15753'!P60</f>
        <v>0.03</v>
      </c>
      <c r="F20" s="157">
        <f>'SO 15753'!S60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ht="14.25">
      <c r="A21" s="155" t="s">
        <v>75</v>
      </c>
      <c r="B21" s="156">
        <f>'SO 15753'!L69</f>
        <v>0</v>
      </c>
      <c r="C21" s="156">
        <f>'SO 15753'!M69</f>
        <v>0</v>
      </c>
      <c r="D21" s="156">
        <f>'SO 15753'!I69</f>
        <v>0</v>
      </c>
      <c r="E21" s="157">
        <f>'SO 15753'!P69</f>
        <v>0</v>
      </c>
      <c r="F21" s="157">
        <f>'SO 15753'!S69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ht="14.25">
      <c r="A22" s="2" t="s">
        <v>72</v>
      </c>
      <c r="B22" s="158">
        <f>'SO 15753'!L71</f>
        <v>0</v>
      </c>
      <c r="C22" s="158">
        <f>'SO 15753'!M71</f>
        <v>0</v>
      </c>
      <c r="D22" s="158">
        <f>'SO 15753'!I71</f>
        <v>0</v>
      </c>
      <c r="E22" s="159">
        <f>'SO 15753'!P71</f>
        <v>0.47</v>
      </c>
      <c r="F22" s="159">
        <f>'SO 15753'!S71</f>
        <v>0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6" ht="14.25">
      <c r="A23" s="1"/>
      <c r="B23" s="148"/>
      <c r="C23" s="148"/>
      <c r="D23" s="148"/>
      <c r="E23" s="147"/>
      <c r="F23" s="147"/>
    </row>
    <row r="24" spans="1:26" ht="14.25">
      <c r="A24" s="2" t="s">
        <v>76</v>
      </c>
      <c r="B24" s="158"/>
      <c r="C24" s="156"/>
      <c r="D24" s="156"/>
      <c r="E24" s="157"/>
      <c r="F24" s="157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ht="14.25">
      <c r="A25" s="155" t="s">
        <v>77</v>
      </c>
      <c r="B25" s="156">
        <f>'SO 15753'!L76</f>
        <v>0</v>
      </c>
      <c r="C25" s="156">
        <f>'SO 15753'!M76</f>
        <v>0</v>
      </c>
      <c r="D25" s="156">
        <f>'SO 15753'!I76</f>
        <v>0</v>
      </c>
      <c r="E25" s="157">
        <f>'SO 15753'!P76</f>
        <v>0</v>
      </c>
      <c r="F25" s="157">
        <f>'SO 15753'!S76</f>
        <v>0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ht="14.25">
      <c r="A26" s="2" t="s">
        <v>76</v>
      </c>
      <c r="B26" s="158">
        <f>'SO 15753'!L78</f>
        <v>0</v>
      </c>
      <c r="C26" s="158">
        <f>'SO 15753'!M78</f>
        <v>0</v>
      </c>
      <c r="D26" s="158">
        <f>'SO 15753'!I78</f>
        <v>0</v>
      </c>
      <c r="E26" s="159">
        <f>'SO 15753'!P78</f>
        <v>0</v>
      </c>
      <c r="F26" s="159">
        <f>'SO 15753'!S78</f>
        <v>0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6" ht="14.25">
      <c r="A27" s="1"/>
      <c r="B27" s="148"/>
      <c r="C27" s="148"/>
      <c r="D27" s="148"/>
      <c r="E27" s="147"/>
      <c r="F27" s="147"/>
    </row>
    <row r="28" spans="1:26" ht="14.25">
      <c r="A28" s="2" t="s">
        <v>78</v>
      </c>
      <c r="B28" s="158">
        <f>'SO 15753'!L79</f>
        <v>0</v>
      </c>
      <c r="C28" s="158">
        <f>'SO 15753'!M79</f>
        <v>0</v>
      </c>
      <c r="D28" s="158">
        <f>'SO 15753'!I79</f>
        <v>0</v>
      </c>
      <c r="E28" s="159">
        <f>'SO 15753'!P79</f>
        <v>115.14</v>
      </c>
      <c r="F28" s="159">
        <f>'SO 15753'!S79</f>
        <v>0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6" ht="14.25">
      <c r="A29" s="1"/>
      <c r="B29" s="148"/>
      <c r="C29" s="148"/>
      <c r="D29" s="148"/>
      <c r="E29" s="147"/>
      <c r="F29" s="147"/>
    </row>
    <row r="30" spans="1:6" ht="14.25">
      <c r="A30" s="1"/>
      <c r="B30" s="148"/>
      <c r="C30" s="148"/>
      <c r="D30" s="148"/>
      <c r="E30" s="147"/>
      <c r="F30" s="147"/>
    </row>
    <row r="31" spans="1:6" ht="14.25">
      <c r="A31" s="1"/>
      <c r="B31" s="148"/>
      <c r="C31" s="148"/>
      <c r="D31" s="148"/>
      <c r="E31" s="147"/>
      <c r="F31" s="147"/>
    </row>
    <row r="32" spans="1:6" ht="14.25">
      <c r="A32" s="1"/>
      <c r="B32" s="148"/>
      <c r="C32" s="148"/>
      <c r="D32" s="148"/>
      <c r="E32" s="147"/>
      <c r="F32" s="147"/>
    </row>
    <row r="33" spans="1:6" ht="14.25">
      <c r="A33" s="1"/>
      <c r="B33" s="148"/>
      <c r="C33" s="148"/>
      <c r="D33" s="148"/>
      <c r="E33" s="147"/>
      <c r="F33" s="147"/>
    </row>
    <row r="34" spans="1:6" ht="14.25">
      <c r="A34" s="1"/>
      <c r="B34" s="148"/>
      <c r="C34" s="148"/>
      <c r="D34" s="148"/>
      <c r="E34" s="147"/>
      <c r="F34" s="147"/>
    </row>
    <row r="35" spans="1:6" ht="14.25">
      <c r="A35" s="1"/>
      <c r="B35" s="148"/>
      <c r="C35" s="148"/>
      <c r="D35" s="148"/>
      <c r="E35" s="147"/>
      <c r="F35" s="147"/>
    </row>
    <row r="36" spans="1:6" ht="14.25">
      <c r="A36" s="1"/>
      <c r="B36" s="148"/>
      <c r="C36" s="148"/>
      <c r="D36" s="148"/>
      <c r="E36" s="147"/>
      <c r="F36" s="147"/>
    </row>
    <row r="37" spans="1:6" ht="14.25">
      <c r="A37" s="1"/>
      <c r="B37" s="148"/>
      <c r="C37" s="148"/>
      <c r="D37" s="148"/>
      <c r="E37" s="147"/>
      <c r="F37" s="147"/>
    </row>
    <row r="38" spans="1:6" ht="14.25">
      <c r="A38" s="1"/>
      <c r="B38" s="148"/>
      <c r="C38" s="148"/>
      <c r="D38" s="148"/>
      <c r="E38" s="147"/>
      <c r="F38" s="147"/>
    </row>
    <row r="39" spans="1:6" ht="14.25">
      <c r="A39" s="1"/>
      <c r="B39" s="148"/>
      <c r="C39" s="148"/>
      <c r="D39" s="148"/>
      <c r="E39" s="147"/>
      <c r="F39" s="147"/>
    </row>
    <row r="40" spans="1:6" ht="14.25">
      <c r="A40" s="1"/>
      <c r="B40" s="148"/>
      <c r="C40" s="148"/>
      <c r="D40" s="148"/>
      <c r="E40" s="147"/>
      <c r="F40" s="147"/>
    </row>
    <row r="41" spans="1:6" ht="14.25">
      <c r="A41" s="1"/>
      <c r="B41" s="148"/>
      <c r="C41" s="148"/>
      <c r="D41" s="148"/>
      <c r="E41" s="147"/>
      <c r="F41" s="147"/>
    </row>
    <row r="42" spans="1:6" ht="14.25">
      <c r="A42" s="1"/>
      <c r="B42" s="148"/>
      <c r="C42" s="148"/>
      <c r="D42" s="148"/>
      <c r="E42" s="147"/>
      <c r="F42" s="147"/>
    </row>
    <row r="43" spans="1:6" ht="14.25">
      <c r="A43" s="1"/>
      <c r="B43" s="148"/>
      <c r="C43" s="148"/>
      <c r="D43" s="148"/>
      <c r="E43" s="147"/>
      <c r="F43" s="147"/>
    </row>
    <row r="44" spans="1:6" ht="14.25">
      <c r="A44" s="1"/>
      <c r="B44" s="148"/>
      <c r="C44" s="148"/>
      <c r="D44" s="148"/>
      <c r="E44" s="147"/>
      <c r="F44" s="147"/>
    </row>
    <row r="45" spans="1:6" ht="14.25">
      <c r="A45" s="1"/>
      <c r="B45" s="148"/>
      <c r="C45" s="148"/>
      <c r="D45" s="148"/>
      <c r="E45" s="147"/>
      <c r="F45" s="147"/>
    </row>
    <row r="46" spans="1:6" ht="14.25">
      <c r="A46" s="1"/>
      <c r="B46" s="148"/>
      <c r="C46" s="148"/>
      <c r="D46" s="148"/>
      <c r="E46" s="147"/>
      <c r="F46" s="147"/>
    </row>
    <row r="47" spans="1:6" ht="14.25">
      <c r="A47" s="1"/>
      <c r="B47" s="148"/>
      <c r="C47" s="148"/>
      <c r="D47" s="148"/>
      <c r="E47" s="147"/>
      <c r="F47" s="147"/>
    </row>
    <row r="48" spans="1:6" ht="14.25">
      <c r="A48" s="1"/>
      <c r="B48" s="148"/>
      <c r="C48" s="148"/>
      <c r="D48" s="148"/>
      <c r="E48" s="147"/>
      <c r="F48" s="147"/>
    </row>
    <row r="49" spans="1:6" ht="14.25">
      <c r="A49" s="1"/>
      <c r="B49" s="148"/>
      <c r="C49" s="148"/>
      <c r="D49" s="148"/>
      <c r="E49" s="147"/>
      <c r="F49" s="147"/>
    </row>
    <row r="50" spans="1:6" ht="14.25">
      <c r="A50" s="1"/>
      <c r="B50" s="148"/>
      <c r="C50" s="148"/>
      <c r="D50" s="148"/>
      <c r="E50" s="147"/>
      <c r="F50" s="147"/>
    </row>
    <row r="51" spans="1:6" ht="14.25">
      <c r="A51" s="1"/>
      <c r="B51" s="148"/>
      <c r="C51" s="148"/>
      <c r="D51" s="148"/>
      <c r="E51" s="147"/>
      <c r="F51" s="147"/>
    </row>
    <row r="52" spans="1:6" ht="14.25">
      <c r="A52" s="1"/>
      <c r="B52" s="148"/>
      <c r="C52" s="148"/>
      <c r="D52" s="148"/>
      <c r="E52" s="147"/>
      <c r="F52" s="147"/>
    </row>
    <row r="53" spans="1:6" ht="14.25">
      <c r="A53" s="1"/>
      <c r="B53" s="148"/>
      <c r="C53" s="148"/>
      <c r="D53" s="148"/>
      <c r="E53" s="147"/>
      <c r="F53" s="147"/>
    </row>
    <row r="54" spans="1:6" ht="14.25">
      <c r="A54" s="1"/>
      <c r="B54" s="148"/>
      <c r="C54" s="148"/>
      <c r="D54" s="148"/>
      <c r="E54" s="147"/>
      <c r="F54" s="147"/>
    </row>
    <row r="55" spans="1:6" ht="14.25">
      <c r="A55" s="1"/>
      <c r="B55" s="148"/>
      <c r="C55" s="148"/>
      <c r="D55" s="148"/>
      <c r="E55" s="147"/>
      <c r="F55" s="147"/>
    </row>
    <row r="56" spans="1:6" ht="14.25">
      <c r="A56" s="1"/>
      <c r="B56" s="148"/>
      <c r="C56" s="148"/>
      <c r="D56" s="148"/>
      <c r="E56" s="147"/>
      <c r="F56" s="147"/>
    </row>
    <row r="57" spans="1:6" ht="14.25">
      <c r="A57" s="1"/>
      <c r="B57" s="148"/>
      <c r="C57" s="148"/>
      <c r="D57" s="148"/>
      <c r="E57" s="147"/>
      <c r="F57" s="147"/>
    </row>
    <row r="58" spans="1:6" ht="14.25">
      <c r="A58" s="1"/>
      <c r="B58" s="148"/>
      <c r="C58" s="148"/>
      <c r="D58" s="148"/>
      <c r="E58" s="147"/>
      <c r="F58" s="147"/>
    </row>
    <row r="59" spans="1:6" ht="14.25">
      <c r="A59" s="1"/>
      <c r="B59" s="148"/>
      <c r="C59" s="148"/>
      <c r="D59" s="148"/>
      <c r="E59" s="147"/>
      <c r="F59" s="147"/>
    </row>
    <row r="60" spans="1:6" ht="14.25">
      <c r="A60" s="1"/>
      <c r="B60" s="148"/>
      <c r="C60" s="148"/>
      <c r="D60" s="148"/>
      <c r="E60" s="147"/>
      <c r="F60" s="147"/>
    </row>
    <row r="61" spans="1:6" ht="14.25">
      <c r="A61" s="1"/>
      <c r="B61" s="148"/>
      <c r="C61" s="148"/>
      <c r="D61" s="148"/>
      <c r="E61" s="147"/>
      <c r="F61" s="147"/>
    </row>
    <row r="62" spans="1:6" ht="14.25">
      <c r="A62" s="1"/>
      <c r="B62" s="1"/>
      <c r="C62" s="1"/>
      <c r="D62" s="1"/>
      <c r="E62" s="1"/>
      <c r="F62" s="1"/>
    </row>
    <row r="63" spans="1:6" ht="14.25">
      <c r="A63" s="1"/>
      <c r="B63" s="1"/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  <row r="69" spans="1:6" ht="14.25">
      <c r="A69" s="1"/>
      <c r="B69" s="1"/>
      <c r="C69" s="1"/>
      <c r="D69" s="1"/>
      <c r="E69" s="1"/>
      <c r="F69" s="1"/>
    </row>
    <row r="70" spans="1:6" ht="14.25">
      <c r="A70" s="1"/>
      <c r="B70" s="1"/>
      <c r="C70" s="1"/>
      <c r="D70" s="1"/>
      <c r="E70" s="1"/>
      <c r="F70" s="1"/>
    </row>
    <row r="71" spans="1:6" ht="14.25">
      <c r="A71" s="1"/>
      <c r="B71" s="1"/>
      <c r="C71" s="1"/>
      <c r="D71" s="1"/>
      <c r="E71" s="1"/>
      <c r="F71" s="1"/>
    </row>
    <row r="72" spans="1:6" ht="14.25">
      <c r="A72" s="1"/>
      <c r="B72" s="1"/>
      <c r="C72" s="1"/>
      <c r="D72" s="1"/>
      <c r="E72" s="1"/>
      <c r="F72" s="1"/>
    </row>
    <row r="73" spans="1:6" ht="14.25">
      <c r="A73" s="1"/>
      <c r="B73" s="1"/>
      <c r="C73" s="1"/>
      <c r="D73" s="1"/>
      <c r="E73" s="1"/>
      <c r="F73" s="1"/>
    </row>
    <row r="74" spans="1:6" ht="14.25">
      <c r="A74" s="1"/>
      <c r="B74" s="1"/>
      <c r="C74" s="1"/>
      <c r="D74" s="1"/>
      <c r="E74" s="1"/>
      <c r="F74" s="1"/>
    </row>
    <row r="75" spans="1:6" ht="14.25">
      <c r="A75" s="1"/>
      <c r="B75" s="1"/>
      <c r="C75" s="1"/>
      <c r="D75" s="1"/>
      <c r="E75" s="1"/>
      <c r="F75" s="1"/>
    </row>
    <row r="76" spans="1:6" ht="14.25">
      <c r="A76" s="1"/>
      <c r="B76" s="1"/>
      <c r="C76" s="1"/>
      <c r="D76" s="1"/>
      <c r="E76" s="1"/>
      <c r="F76" s="1"/>
    </row>
    <row r="77" spans="1:6" ht="14.25">
      <c r="A77" s="1"/>
      <c r="B77" s="1"/>
      <c r="C77" s="1"/>
      <c r="D77" s="1"/>
      <c r="E77" s="1"/>
      <c r="F77" s="1"/>
    </row>
    <row r="78" spans="1:6" ht="14.25">
      <c r="A78" s="1"/>
      <c r="B78" s="1"/>
      <c r="C78" s="1"/>
      <c r="D78" s="1"/>
      <c r="E78" s="1"/>
      <c r="F78" s="1"/>
    </row>
    <row r="79" spans="1:6" ht="14.25">
      <c r="A79" s="1"/>
      <c r="B79" s="1"/>
      <c r="C79" s="1"/>
      <c r="D79" s="1"/>
      <c r="E79" s="1"/>
      <c r="F79" s="1"/>
    </row>
    <row r="80" spans="1:6" ht="14.25">
      <c r="A80" s="1"/>
      <c r="B80" s="1"/>
      <c r="C80" s="1"/>
      <c r="D80" s="1"/>
      <c r="E80" s="1"/>
      <c r="F80" s="1"/>
    </row>
    <row r="81" spans="1:6" ht="14.25">
      <c r="A81" s="1"/>
      <c r="B81" s="1"/>
      <c r="C81" s="1"/>
      <c r="D81" s="1"/>
      <c r="E81" s="1"/>
      <c r="F81" s="1"/>
    </row>
    <row r="82" spans="1:6" ht="14.25">
      <c r="A82" s="1"/>
      <c r="B82" s="1"/>
      <c r="C82" s="1"/>
      <c r="D82" s="1"/>
      <c r="E82" s="1"/>
      <c r="F82" s="1"/>
    </row>
    <row r="83" spans="1:6" ht="14.25">
      <c r="A83" s="1"/>
      <c r="B83" s="1"/>
      <c r="C83" s="1"/>
      <c r="D83" s="1"/>
      <c r="E83" s="1"/>
      <c r="F83" s="1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</sheetData>
  <sheetProtection/>
  <printOptions/>
  <pageMargins left="0.7" right="0.7" top="0.787401575" bottom="0.787401575" header="0.3" footer="0.3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9"/>
  <sheetViews>
    <sheetView zoomScalePageLayoutView="0" workbookViewId="0" topLeftCell="A1">
      <pane ySplit="8" topLeftCell="A58" activePane="bottomLeft" state="frozen"/>
      <selection pane="topLeft" activeCell="A1" sqref="A1"/>
      <selection pane="bottomLeft" activeCell="G75" sqref="G75"/>
    </sheetView>
  </sheetViews>
  <sheetFormatPr defaultColWidth="9.140625" defaultRowHeight="1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5.7109375" style="0" customWidth="1"/>
    <col min="6" max="6" width="9.7109375" style="0" customWidth="1"/>
    <col min="7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4.25">
      <c r="A1" s="5" t="s">
        <v>21</v>
      </c>
      <c r="B1" s="3"/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4.25">
      <c r="A2" s="5" t="s">
        <v>25</v>
      </c>
      <c r="B2" s="3"/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4.25">
      <c r="A3" s="5" t="s">
        <v>24</v>
      </c>
      <c r="B3" s="3"/>
      <c r="C3" s="3"/>
      <c r="D3" s="3"/>
      <c r="E3" s="5" t="s">
        <v>228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4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4.25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4.25">
      <c r="A7" s="13" t="s">
        <v>65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">
      <c r="A8" s="163" t="s">
        <v>79</v>
      </c>
      <c r="B8" s="163" t="s">
        <v>80</v>
      </c>
      <c r="C8" s="163" t="s">
        <v>81</v>
      </c>
      <c r="D8" s="163" t="s">
        <v>82</v>
      </c>
      <c r="E8" s="163" t="s">
        <v>83</v>
      </c>
      <c r="F8" s="163" t="s">
        <v>84</v>
      </c>
      <c r="G8" s="163" t="s">
        <v>56</v>
      </c>
      <c r="H8" s="163" t="s">
        <v>57</v>
      </c>
      <c r="I8" s="163" t="s">
        <v>85</v>
      </c>
      <c r="J8" s="163"/>
      <c r="K8" s="163"/>
      <c r="L8" s="163"/>
      <c r="M8" s="163"/>
      <c r="N8" s="163"/>
      <c r="O8" s="163"/>
      <c r="P8" s="163" t="s">
        <v>86</v>
      </c>
      <c r="Q8" s="160"/>
      <c r="R8" s="160"/>
      <c r="S8" s="163" t="s">
        <v>87</v>
      </c>
      <c r="T8" s="161"/>
      <c r="U8" s="161"/>
      <c r="V8" s="161"/>
      <c r="W8" s="161"/>
      <c r="X8" s="161"/>
      <c r="Y8" s="161"/>
      <c r="Z8" s="161"/>
    </row>
    <row r="9" spans="1:26" ht="14.25">
      <c r="A9" s="149"/>
      <c r="B9" s="149"/>
      <c r="C9" s="164"/>
      <c r="D9" s="153" t="s">
        <v>66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ht="14.25">
      <c r="A10" s="155"/>
      <c r="B10" s="155"/>
      <c r="C10" s="155"/>
      <c r="D10" s="155" t="s">
        <v>67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75" customHeight="1">
      <c r="A11" s="170">
        <v>1</v>
      </c>
      <c r="B11" s="167" t="s">
        <v>88</v>
      </c>
      <c r="C11" s="171" t="s">
        <v>89</v>
      </c>
      <c r="D11" s="167" t="s">
        <v>90</v>
      </c>
      <c r="E11" s="167" t="s">
        <v>91</v>
      </c>
      <c r="F11" s="168">
        <f>10.0464*5</f>
        <v>50.232</v>
      </c>
      <c r="G11" s="169"/>
      <c r="H11" s="169"/>
      <c r="I11" s="169">
        <f aca="true" t="shared" si="0" ref="I11:I17">ROUND(F11*(G11+H11),2)</f>
        <v>0</v>
      </c>
      <c r="J11" s="167">
        <f aca="true" t="shared" si="1" ref="J11:J17">ROUND(F11*(N11),2)</f>
        <v>265.73</v>
      </c>
      <c r="K11" s="1">
        <f aca="true" t="shared" si="2" ref="K11:K17">ROUND(F11*(O11),2)</f>
        <v>0</v>
      </c>
      <c r="L11" s="1">
        <f aca="true" t="shared" si="3" ref="L11:L17">ROUND(F11*(G11),2)</f>
        <v>0</v>
      </c>
      <c r="M11" s="1"/>
      <c r="N11" s="1">
        <v>5.29</v>
      </c>
      <c r="O11" s="1"/>
      <c r="P11" s="166"/>
      <c r="Q11" s="172"/>
      <c r="R11" s="172"/>
      <c r="S11" s="166"/>
      <c r="Z11">
        <f aca="true" t="shared" si="4" ref="Z11:Z17">0.058844*POWER(I11,0.952797)</f>
        <v>0</v>
      </c>
    </row>
    <row r="12" spans="1:26" ht="24.75" customHeight="1">
      <c r="A12" s="170">
        <v>2</v>
      </c>
      <c r="B12" s="167" t="s">
        <v>88</v>
      </c>
      <c r="C12" s="171" t="s">
        <v>92</v>
      </c>
      <c r="D12" s="167" t="s">
        <v>93</v>
      </c>
      <c r="E12" s="167" t="s">
        <v>91</v>
      </c>
      <c r="F12" s="168">
        <f>10.046*5</f>
        <v>50.23</v>
      </c>
      <c r="G12" s="169"/>
      <c r="H12" s="169"/>
      <c r="I12" s="169">
        <f t="shared" si="0"/>
        <v>0</v>
      </c>
      <c r="J12" s="167">
        <f t="shared" si="1"/>
        <v>45.21</v>
      </c>
      <c r="K12" s="1">
        <f t="shared" si="2"/>
        <v>0</v>
      </c>
      <c r="L12" s="1">
        <f t="shared" si="3"/>
        <v>0</v>
      </c>
      <c r="M12" s="1"/>
      <c r="N12" s="1">
        <v>0.9</v>
      </c>
      <c r="O12" s="1"/>
      <c r="P12" s="166"/>
      <c r="Q12" s="172"/>
      <c r="R12" s="172"/>
      <c r="S12" s="166"/>
      <c r="Z12">
        <f t="shared" si="4"/>
        <v>0</v>
      </c>
    </row>
    <row r="13" spans="1:26" ht="24.75" customHeight="1">
      <c r="A13" s="170">
        <v>3</v>
      </c>
      <c r="B13" s="167" t="s">
        <v>88</v>
      </c>
      <c r="C13" s="171" t="s">
        <v>94</v>
      </c>
      <c r="D13" s="167" t="s">
        <v>95</v>
      </c>
      <c r="E13" s="167" t="s">
        <v>91</v>
      </c>
      <c r="F13" s="168">
        <f>10.046*5</f>
        <v>50.23</v>
      </c>
      <c r="G13" s="169"/>
      <c r="H13" s="169"/>
      <c r="I13" s="169">
        <f t="shared" si="0"/>
        <v>0</v>
      </c>
      <c r="J13" s="167">
        <f t="shared" si="1"/>
        <v>352.61</v>
      </c>
      <c r="K13" s="1">
        <f t="shared" si="2"/>
        <v>0</v>
      </c>
      <c r="L13" s="1">
        <f t="shared" si="3"/>
        <v>0</v>
      </c>
      <c r="M13" s="1"/>
      <c r="N13" s="1">
        <v>7.02</v>
      </c>
      <c r="O13" s="1"/>
      <c r="P13" s="166"/>
      <c r="Q13" s="172"/>
      <c r="R13" s="172"/>
      <c r="S13" s="166"/>
      <c r="Z13">
        <f t="shared" si="4"/>
        <v>0</v>
      </c>
    </row>
    <row r="14" spans="1:26" ht="24.75" customHeight="1">
      <c r="A14" s="170">
        <v>4</v>
      </c>
      <c r="B14" s="167" t="s">
        <v>88</v>
      </c>
      <c r="C14" s="171" t="s">
        <v>96</v>
      </c>
      <c r="D14" s="167" t="s">
        <v>97</v>
      </c>
      <c r="E14" s="167" t="s">
        <v>91</v>
      </c>
      <c r="F14" s="168">
        <f>10.046*5</f>
        <v>50.23</v>
      </c>
      <c r="G14" s="169"/>
      <c r="H14" s="169"/>
      <c r="I14" s="169">
        <f t="shared" si="0"/>
        <v>0</v>
      </c>
      <c r="J14" s="167">
        <f t="shared" si="1"/>
        <v>318.46</v>
      </c>
      <c r="K14" s="1">
        <f t="shared" si="2"/>
        <v>0</v>
      </c>
      <c r="L14" s="1">
        <f t="shared" si="3"/>
        <v>0</v>
      </c>
      <c r="M14" s="1"/>
      <c r="N14" s="1">
        <v>6.34</v>
      </c>
      <c r="O14" s="1"/>
      <c r="P14" s="166"/>
      <c r="Q14" s="172"/>
      <c r="R14" s="172"/>
      <c r="S14" s="166"/>
      <c r="Z14">
        <f t="shared" si="4"/>
        <v>0</v>
      </c>
    </row>
    <row r="15" spans="1:26" ht="24.75" customHeight="1">
      <c r="A15" s="170">
        <v>5</v>
      </c>
      <c r="B15" s="167" t="s">
        <v>88</v>
      </c>
      <c r="C15" s="171" t="s">
        <v>98</v>
      </c>
      <c r="D15" s="167" t="s">
        <v>99</v>
      </c>
      <c r="E15" s="167" t="s">
        <v>91</v>
      </c>
      <c r="F15" s="168">
        <f>10.046*5</f>
        <v>50.23</v>
      </c>
      <c r="G15" s="169"/>
      <c r="H15" s="169"/>
      <c r="I15" s="169">
        <f t="shared" si="0"/>
        <v>0</v>
      </c>
      <c r="J15" s="167">
        <f t="shared" si="1"/>
        <v>42.19</v>
      </c>
      <c r="K15" s="1">
        <f t="shared" si="2"/>
        <v>0</v>
      </c>
      <c r="L15" s="1">
        <f t="shared" si="3"/>
        <v>0</v>
      </c>
      <c r="M15" s="1"/>
      <c r="N15" s="1">
        <v>0.84</v>
      </c>
      <c r="O15" s="1"/>
      <c r="P15" s="166"/>
      <c r="Q15" s="172"/>
      <c r="R15" s="172"/>
      <c r="S15" s="166"/>
      <c r="Z15">
        <f t="shared" si="4"/>
        <v>0</v>
      </c>
    </row>
    <row r="16" spans="1:26" ht="24.75" customHeight="1">
      <c r="A16" s="170">
        <v>6</v>
      </c>
      <c r="B16" s="167" t="s">
        <v>88</v>
      </c>
      <c r="C16" s="171" t="s">
        <v>100</v>
      </c>
      <c r="D16" s="167" t="s">
        <v>101</v>
      </c>
      <c r="E16" s="167" t="s">
        <v>102</v>
      </c>
      <c r="F16" s="168">
        <f>17.94*5</f>
        <v>89.7</v>
      </c>
      <c r="G16" s="169"/>
      <c r="H16" s="169"/>
      <c r="I16" s="169">
        <f t="shared" si="0"/>
        <v>0</v>
      </c>
      <c r="J16" s="167">
        <f t="shared" si="1"/>
        <v>38.57</v>
      </c>
      <c r="K16" s="1">
        <f t="shared" si="2"/>
        <v>0</v>
      </c>
      <c r="L16" s="1">
        <f t="shared" si="3"/>
        <v>0</v>
      </c>
      <c r="M16" s="1"/>
      <c r="N16" s="1">
        <v>0.43</v>
      </c>
      <c r="O16" s="1"/>
      <c r="P16" s="166"/>
      <c r="Q16" s="172"/>
      <c r="R16" s="172"/>
      <c r="S16" s="166"/>
      <c r="Z16">
        <f t="shared" si="4"/>
        <v>0</v>
      </c>
    </row>
    <row r="17" spans="1:26" ht="24.75" customHeight="1">
      <c r="A17" s="170">
        <v>7</v>
      </c>
      <c r="B17" s="167" t="s">
        <v>88</v>
      </c>
      <c r="C17" s="171" t="s">
        <v>103</v>
      </c>
      <c r="D17" s="167" t="s">
        <v>104</v>
      </c>
      <c r="E17" s="167" t="s">
        <v>91</v>
      </c>
      <c r="F17" s="168">
        <f>10.046*5</f>
        <v>50.23</v>
      </c>
      <c r="G17" s="169"/>
      <c r="H17" s="169"/>
      <c r="I17" s="169">
        <f t="shared" si="0"/>
        <v>0</v>
      </c>
      <c r="J17" s="167">
        <f t="shared" si="1"/>
        <v>502.3</v>
      </c>
      <c r="K17" s="1">
        <f t="shared" si="2"/>
        <v>0</v>
      </c>
      <c r="L17" s="1">
        <f t="shared" si="3"/>
        <v>0</v>
      </c>
      <c r="M17" s="1"/>
      <c r="N17" s="1">
        <v>10</v>
      </c>
      <c r="O17" s="1"/>
      <c r="P17" s="166"/>
      <c r="Q17" s="172"/>
      <c r="R17" s="172"/>
      <c r="S17" s="166"/>
      <c r="Z17">
        <f t="shared" si="4"/>
        <v>0</v>
      </c>
    </row>
    <row r="18" spans="1:26" ht="14.25">
      <c r="A18" s="155"/>
      <c r="B18" s="155"/>
      <c r="C18" s="155"/>
      <c r="D18" s="155" t="s">
        <v>67</v>
      </c>
      <c r="E18" s="155"/>
      <c r="F18" s="166"/>
      <c r="G18" s="158">
        <f>ROUND((SUM(L10:L17))/1,2)</f>
        <v>0</v>
      </c>
      <c r="H18" s="158">
        <f>ROUND((SUM(M10:M17))/1,2)</f>
        <v>0</v>
      </c>
      <c r="I18" s="158">
        <f>ROUND((SUM(I10:I17))/1,2)</f>
        <v>0</v>
      </c>
      <c r="J18" s="155"/>
      <c r="K18" s="155"/>
      <c r="L18" s="155">
        <f>ROUND((SUM(L10:L17))/1,2)</f>
        <v>0</v>
      </c>
      <c r="M18" s="155">
        <f>ROUND((SUM(M10:M17))/1,2)</f>
        <v>0</v>
      </c>
      <c r="N18" s="155"/>
      <c r="O18" s="155"/>
      <c r="P18" s="173">
        <f>ROUND((SUM(P10:P17))/1,2)</f>
        <v>0</v>
      </c>
      <c r="Q18" s="152"/>
      <c r="R18" s="152"/>
      <c r="S18" s="173">
        <f>ROUND((SUM(S10:S17))/1,2)</f>
        <v>0</v>
      </c>
      <c r="T18" s="152"/>
      <c r="U18" s="152"/>
      <c r="V18" s="152"/>
      <c r="W18" s="152"/>
      <c r="X18" s="152"/>
      <c r="Y18" s="152"/>
      <c r="Z18" s="152"/>
    </row>
    <row r="19" spans="1:19" ht="14.25">
      <c r="A19" s="1"/>
      <c r="B19" s="1"/>
      <c r="C19" s="1"/>
      <c r="D19" s="1"/>
      <c r="E19" s="1"/>
      <c r="F19" s="162"/>
      <c r="G19" s="148"/>
      <c r="H19" s="148"/>
      <c r="I19" s="148"/>
      <c r="J19" s="1"/>
      <c r="K19" s="1"/>
      <c r="L19" s="1"/>
      <c r="M19" s="1"/>
      <c r="N19" s="1"/>
      <c r="O19" s="1"/>
      <c r="P19" s="1"/>
      <c r="S19" s="1"/>
    </row>
    <row r="20" spans="1:26" ht="14.25">
      <c r="A20" s="155"/>
      <c r="B20" s="155"/>
      <c r="C20" s="155"/>
      <c r="D20" s="155" t="s">
        <v>68</v>
      </c>
      <c r="E20" s="155"/>
      <c r="F20" s="166"/>
      <c r="G20" s="156"/>
      <c r="H20" s="156"/>
      <c r="I20" s="156"/>
      <c r="J20" s="155"/>
      <c r="K20" s="155"/>
      <c r="L20" s="155"/>
      <c r="M20" s="155"/>
      <c r="N20" s="155"/>
      <c r="O20" s="155"/>
      <c r="P20" s="155"/>
      <c r="Q20" s="152"/>
      <c r="R20" s="152"/>
      <c r="S20" s="155"/>
      <c r="T20" s="152"/>
      <c r="U20" s="152"/>
      <c r="V20" s="152"/>
      <c r="W20" s="152"/>
      <c r="X20" s="152"/>
      <c r="Y20" s="152"/>
      <c r="Z20" s="152"/>
    </row>
    <row r="21" spans="1:26" ht="24.75" customHeight="1">
      <c r="A21" s="170">
        <v>8</v>
      </c>
      <c r="B21" s="167" t="s">
        <v>105</v>
      </c>
      <c r="C21" s="171" t="s">
        <v>106</v>
      </c>
      <c r="D21" s="167" t="s">
        <v>107</v>
      </c>
      <c r="E21" s="167" t="s">
        <v>102</v>
      </c>
      <c r="F21" s="168">
        <f>17.8*5</f>
        <v>89</v>
      </c>
      <c r="G21" s="169"/>
      <c r="H21" s="169"/>
      <c r="I21" s="169">
        <f aca="true" t="shared" si="5" ref="I21:I27">ROUND(F21*(G21+H21),2)</f>
        <v>0</v>
      </c>
      <c r="J21" s="167">
        <f aca="true" t="shared" si="6" ref="J21:J27">ROUND(F21*(N21),2)</f>
        <v>43.61</v>
      </c>
      <c r="K21" s="1">
        <f aca="true" t="shared" si="7" ref="K21:K27">ROUND(F21*(O21),2)</f>
        <v>0</v>
      </c>
      <c r="L21" s="1">
        <f aca="true" t="shared" si="8" ref="L21:L26">ROUND(F21*(G21),2)</f>
        <v>0</v>
      </c>
      <c r="M21" s="1"/>
      <c r="N21" s="1">
        <v>0.49</v>
      </c>
      <c r="O21" s="1"/>
      <c r="P21" s="166">
        <f>ROUND(F21*(R21),3)</f>
        <v>0.003</v>
      </c>
      <c r="Q21" s="172"/>
      <c r="R21" s="172">
        <v>3E-05</v>
      </c>
      <c r="S21" s="166"/>
      <c r="Z21">
        <f aca="true" t="shared" si="9" ref="Z21:Z27">0.058844*POWER(I21,0.952797)</f>
        <v>0</v>
      </c>
    </row>
    <row r="22" spans="1:26" ht="24.75" customHeight="1">
      <c r="A22" s="170">
        <v>9</v>
      </c>
      <c r="B22" s="167" t="s">
        <v>108</v>
      </c>
      <c r="C22" s="171" t="s">
        <v>109</v>
      </c>
      <c r="D22" s="167" t="s">
        <v>110</v>
      </c>
      <c r="E22" s="167" t="s">
        <v>91</v>
      </c>
      <c r="F22" s="168">
        <f>5.382*5</f>
        <v>26.909999999999997</v>
      </c>
      <c r="G22" s="169"/>
      <c r="H22" s="169"/>
      <c r="I22" s="169">
        <f t="shared" si="5"/>
        <v>0</v>
      </c>
      <c r="J22" s="167">
        <f t="shared" si="6"/>
        <v>1054.33</v>
      </c>
      <c r="K22" s="1">
        <f t="shared" si="7"/>
        <v>0</v>
      </c>
      <c r="L22" s="1">
        <f t="shared" si="8"/>
        <v>0</v>
      </c>
      <c r="M22" s="1"/>
      <c r="N22" s="1">
        <v>39.18</v>
      </c>
      <c r="O22" s="1"/>
      <c r="P22" s="166">
        <f>ROUND(F22*(R22),3)</f>
        <v>55.704</v>
      </c>
      <c r="Q22" s="172"/>
      <c r="R22" s="172">
        <v>2.07</v>
      </c>
      <c r="S22" s="166"/>
      <c r="Z22">
        <f t="shared" si="9"/>
        <v>0</v>
      </c>
    </row>
    <row r="23" spans="1:26" ht="24.75" customHeight="1">
      <c r="A23" s="170">
        <v>10</v>
      </c>
      <c r="B23" s="167" t="s">
        <v>108</v>
      </c>
      <c r="C23" s="171" t="s">
        <v>111</v>
      </c>
      <c r="D23" s="167" t="s">
        <v>112</v>
      </c>
      <c r="E23" s="167" t="s">
        <v>91</v>
      </c>
      <c r="F23" s="168">
        <f>3.2292*5</f>
        <v>16.146</v>
      </c>
      <c r="G23" s="169"/>
      <c r="H23" s="169"/>
      <c r="I23" s="169">
        <f t="shared" si="5"/>
        <v>0</v>
      </c>
      <c r="J23" s="167">
        <f t="shared" si="6"/>
        <v>1307.99</v>
      </c>
      <c r="K23" s="1">
        <f t="shared" si="7"/>
        <v>0</v>
      </c>
      <c r="L23" s="1">
        <f t="shared" si="8"/>
        <v>0</v>
      </c>
      <c r="M23" s="1"/>
      <c r="N23" s="1">
        <v>81.01</v>
      </c>
      <c r="O23" s="1"/>
      <c r="P23" s="166">
        <f>ROUND(F23*(R23),3)</f>
        <v>35.43</v>
      </c>
      <c r="Q23" s="172"/>
      <c r="R23" s="172">
        <v>2.19433794</v>
      </c>
      <c r="S23" s="166"/>
      <c r="Z23">
        <f t="shared" si="9"/>
        <v>0</v>
      </c>
    </row>
    <row r="24" spans="1:26" ht="24.75" customHeight="1">
      <c r="A24" s="170">
        <v>11</v>
      </c>
      <c r="B24" s="167" t="s">
        <v>108</v>
      </c>
      <c r="C24" s="171" t="s">
        <v>113</v>
      </c>
      <c r="D24" s="167" t="s">
        <v>114</v>
      </c>
      <c r="E24" s="167" t="s">
        <v>102</v>
      </c>
      <c r="F24" s="168">
        <f>4.49*5</f>
        <v>22.450000000000003</v>
      </c>
      <c r="G24" s="169"/>
      <c r="H24" s="169"/>
      <c r="I24" s="169">
        <f t="shared" si="5"/>
        <v>0</v>
      </c>
      <c r="J24" s="167">
        <f t="shared" si="6"/>
        <v>264.69</v>
      </c>
      <c r="K24" s="1">
        <f t="shared" si="7"/>
        <v>0</v>
      </c>
      <c r="L24" s="1">
        <f t="shared" si="8"/>
        <v>0</v>
      </c>
      <c r="M24" s="1"/>
      <c r="N24" s="1">
        <v>11.79</v>
      </c>
      <c r="O24" s="1"/>
      <c r="P24" s="166">
        <f>ROUND(F24*(R24),3)</f>
        <v>0.091</v>
      </c>
      <c r="Q24" s="172"/>
      <c r="R24" s="172">
        <v>0.00407</v>
      </c>
      <c r="S24" s="166"/>
      <c r="Z24">
        <f t="shared" si="9"/>
        <v>0</v>
      </c>
    </row>
    <row r="25" spans="1:26" ht="24.75" customHeight="1">
      <c r="A25" s="170">
        <v>12</v>
      </c>
      <c r="B25" s="167" t="s">
        <v>108</v>
      </c>
      <c r="C25" s="171" t="s">
        <v>115</v>
      </c>
      <c r="D25" s="167" t="s">
        <v>116</v>
      </c>
      <c r="E25" s="167" t="s">
        <v>102</v>
      </c>
      <c r="F25" s="168">
        <f>4.49*5</f>
        <v>22.450000000000003</v>
      </c>
      <c r="G25" s="169"/>
      <c r="H25" s="169"/>
      <c r="I25" s="169">
        <f t="shared" si="5"/>
        <v>0</v>
      </c>
      <c r="J25" s="167">
        <f t="shared" si="6"/>
        <v>88</v>
      </c>
      <c r="K25" s="1">
        <f t="shared" si="7"/>
        <v>0</v>
      </c>
      <c r="L25" s="1">
        <f t="shared" si="8"/>
        <v>0</v>
      </c>
      <c r="M25" s="1"/>
      <c r="N25" s="1">
        <v>3.92</v>
      </c>
      <c r="O25" s="1"/>
      <c r="P25" s="166"/>
      <c r="Q25" s="172"/>
      <c r="R25" s="172"/>
      <c r="S25" s="166"/>
      <c r="Z25">
        <f t="shared" si="9"/>
        <v>0</v>
      </c>
    </row>
    <row r="26" spans="1:26" ht="24.75" customHeight="1">
      <c r="A26" s="170">
        <v>13</v>
      </c>
      <c r="B26" s="167" t="s">
        <v>108</v>
      </c>
      <c r="C26" s="171" t="s">
        <v>117</v>
      </c>
      <c r="D26" s="167" t="s">
        <v>118</v>
      </c>
      <c r="E26" s="167" t="s">
        <v>119</v>
      </c>
      <c r="F26" s="168">
        <f>0.13*5</f>
        <v>0.65</v>
      </c>
      <c r="G26" s="169"/>
      <c r="H26" s="169"/>
      <c r="I26" s="169">
        <f t="shared" si="5"/>
        <v>0</v>
      </c>
      <c r="J26" s="167">
        <f t="shared" si="6"/>
        <v>817.17</v>
      </c>
      <c r="K26" s="1">
        <f t="shared" si="7"/>
        <v>0</v>
      </c>
      <c r="L26" s="1">
        <f t="shared" si="8"/>
        <v>0</v>
      </c>
      <c r="M26" s="1"/>
      <c r="N26" s="1">
        <v>1257.18</v>
      </c>
      <c r="O26" s="1"/>
      <c r="P26" s="166">
        <f>ROUND(F26*(R26),3)</f>
        <v>0.782</v>
      </c>
      <c r="Q26" s="172"/>
      <c r="R26" s="172">
        <v>1.202961408</v>
      </c>
      <c r="S26" s="166"/>
      <c r="Z26">
        <f t="shared" si="9"/>
        <v>0</v>
      </c>
    </row>
    <row r="27" spans="1:26" ht="24.75" customHeight="1">
      <c r="A27" s="170">
        <v>14</v>
      </c>
      <c r="B27" s="167" t="s">
        <v>120</v>
      </c>
      <c r="C27" s="171" t="s">
        <v>121</v>
      </c>
      <c r="D27" s="167" t="s">
        <v>122</v>
      </c>
      <c r="E27" s="167" t="s">
        <v>123</v>
      </c>
      <c r="F27" s="168">
        <f>19.58*5</f>
        <v>97.89999999999999</v>
      </c>
      <c r="G27" s="169"/>
      <c r="H27" s="169"/>
      <c r="I27" s="169">
        <f t="shared" si="5"/>
        <v>0</v>
      </c>
      <c r="J27" s="167">
        <f t="shared" si="6"/>
        <v>109.65</v>
      </c>
      <c r="K27" s="1">
        <f t="shared" si="7"/>
        <v>0</v>
      </c>
      <c r="L27" s="1"/>
      <c r="M27" s="1">
        <f>ROUND(F27*(H27),2)</f>
        <v>0</v>
      </c>
      <c r="N27" s="1">
        <v>1.12</v>
      </c>
      <c r="O27" s="1"/>
      <c r="P27" s="166"/>
      <c r="Q27" s="172"/>
      <c r="R27" s="172"/>
      <c r="S27" s="166"/>
      <c r="Z27">
        <f t="shared" si="9"/>
        <v>0</v>
      </c>
    </row>
    <row r="28" spans="1:26" ht="14.25">
      <c r="A28" s="155"/>
      <c r="B28" s="155"/>
      <c r="C28" s="155"/>
      <c r="D28" s="155" t="s">
        <v>68</v>
      </c>
      <c r="E28" s="155"/>
      <c r="F28" s="166"/>
      <c r="G28" s="158">
        <f>ROUND((SUM(L20:L27))/1,2)</f>
        <v>0</v>
      </c>
      <c r="H28" s="158">
        <f>ROUND((SUM(M20:M27))/1,2)</f>
        <v>0</v>
      </c>
      <c r="I28" s="158">
        <f>ROUND((SUM(I20:I27))/1,2)</f>
        <v>0</v>
      </c>
      <c r="J28" s="155"/>
      <c r="K28" s="155"/>
      <c r="L28" s="155">
        <f>ROUND((SUM(L20:L27))/1,2)</f>
        <v>0</v>
      </c>
      <c r="M28" s="155">
        <f>ROUND((SUM(M20:M27))/1,2)</f>
        <v>0</v>
      </c>
      <c r="N28" s="155"/>
      <c r="O28" s="155"/>
      <c r="P28" s="173">
        <f>ROUND((SUM(P20:P27))/1,2)</f>
        <v>92.01</v>
      </c>
      <c r="Q28" s="152"/>
      <c r="R28" s="152"/>
      <c r="S28" s="173">
        <f>ROUND((SUM(S20:S27))/1,2)</f>
        <v>0</v>
      </c>
      <c r="T28" s="152"/>
      <c r="U28" s="152"/>
      <c r="V28" s="152"/>
      <c r="W28" s="152"/>
      <c r="X28" s="152"/>
      <c r="Y28" s="152"/>
      <c r="Z28" s="152"/>
    </row>
    <row r="29" spans="1:19" ht="14.25">
      <c r="A29" s="1"/>
      <c r="B29" s="1"/>
      <c r="C29" s="1"/>
      <c r="D29" s="1"/>
      <c r="E29" s="1"/>
      <c r="F29" s="162"/>
      <c r="G29" s="148"/>
      <c r="H29" s="148"/>
      <c r="I29" s="148"/>
      <c r="J29" s="1"/>
      <c r="K29" s="1"/>
      <c r="L29" s="1"/>
      <c r="M29" s="1"/>
      <c r="N29" s="1"/>
      <c r="O29" s="1"/>
      <c r="P29" s="1"/>
      <c r="S29" s="1"/>
    </row>
    <row r="30" spans="1:26" ht="14.25">
      <c r="A30" s="155"/>
      <c r="B30" s="155"/>
      <c r="C30" s="155"/>
      <c r="D30" s="155" t="s">
        <v>69</v>
      </c>
      <c r="E30" s="155"/>
      <c r="F30" s="166"/>
      <c r="G30" s="156"/>
      <c r="H30" s="156"/>
      <c r="I30" s="156"/>
      <c r="J30" s="155"/>
      <c r="K30" s="155"/>
      <c r="L30" s="155"/>
      <c r="M30" s="155"/>
      <c r="N30" s="155"/>
      <c r="O30" s="155"/>
      <c r="P30" s="155"/>
      <c r="Q30" s="152"/>
      <c r="R30" s="152"/>
      <c r="S30" s="155"/>
      <c r="T30" s="152"/>
      <c r="U30" s="152"/>
      <c r="V30" s="152"/>
      <c r="W30" s="152"/>
      <c r="X30" s="152"/>
      <c r="Y30" s="152"/>
      <c r="Z30" s="152"/>
    </row>
    <row r="31" spans="1:26" ht="34.5" customHeight="1">
      <c r="A31" s="170">
        <v>15</v>
      </c>
      <c r="B31" s="167" t="s">
        <v>124</v>
      </c>
      <c r="C31" s="171" t="s">
        <v>125</v>
      </c>
      <c r="D31" s="167" t="s">
        <v>126</v>
      </c>
      <c r="E31" s="167" t="s">
        <v>127</v>
      </c>
      <c r="F31" s="168">
        <v>5</v>
      </c>
      <c r="G31" s="169"/>
      <c r="H31" s="169"/>
      <c r="I31" s="169">
        <f>ROUND(F31*(G31+H31),2)</f>
        <v>0</v>
      </c>
      <c r="J31" s="167">
        <f>ROUND(F31*(N31),2)</f>
        <v>900</v>
      </c>
      <c r="K31" s="1">
        <f>ROUND(F31*(O31),2)</f>
        <v>0</v>
      </c>
      <c r="L31" s="1">
        <f>ROUND(F31*(G31),2)</f>
        <v>0</v>
      </c>
      <c r="M31" s="1"/>
      <c r="N31" s="1">
        <v>180</v>
      </c>
      <c r="O31" s="1"/>
      <c r="P31" s="166">
        <f>ROUND(F31*(R31),3)</f>
        <v>0.205</v>
      </c>
      <c r="Q31" s="172"/>
      <c r="R31" s="172">
        <v>0.04095</v>
      </c>
      <c r="S31" s="166"/>
      <c r="Z31">
        <f>0.058844*POWER(I31,0.952797)</f>
        <v>0</v>
      </c>
    </row>
    <row r="32" spans="1:26" ht="49.5" customHeight="1">
      <c r="A32" s="170">
        <v>16</v>
      </c>
      <c r="B32" s="167" t="s">
        <v>128</v>
      </c>
      <c r="C32" s="171" t="s">
        <v>129</v>
      </c>
      <c r="D32" s="167" t="s">
        <v>130</v>
      </c>
      <c r="E32" s="167" t="s">
        <v>127</v>
      </c>
      <c r="F32" s="168">
        <v>5</v>
      </c>
      <c r="G32" s="169"/>
      <c r="H32" s="169"/>
      <c r="I32" s="169">
        <f>ROUND(F32*(G32+H32),2)</f>
        <v>0</v>
      </c>
      <c r="J32" s="167">
        <f>ROUND(F32*(N32),2)</f>
        <v>20450</v>
      </c>
      <c r="K32" s="1">
        <f>ROUND(F32*(O32),2)</f>
        <v>0</v>
      </c>
      <c r="L32" s="1"/>
      <c r="M32" s="1">
        <f>ROUND(F32*(H32),2)</f>
        <v>0</v>
      </c>
      <c r="N32" s="1">
        <v>4090</v>
      </c>
      <c r="O32" s="1"/>
      <c r="P32" s="166">
        <f>ROUND(F32*(R32),3)</f>
        <v>22.44</v>
      </c>
      <c r="Q32" s="172"/>
      <c r="R32" s="172">
        <v>4.488</v>
      </c>
      <c r="S32" s="166"/>
      <c r="Z32">
        <f>0.058844*POWER(I32,0.952797)</f>
        <v>0</v>
      </c>
    </row>
    <row r="33" spans="1:26" ht="14.25">
      <c r="A33" s="155"/>
      <c r="B33" s="155"/>
      <c r="C33" s="155"/>
      <c r="D33" s="155" t="s">
        <v>69</v>
      </c>
      <c r="E33" s="155"/>
      <c r="F33" s="166"/>
      <c r="G33" s="158">
        <f>ROUND((SUM(L30:L32))/1,2)</f>
        <v>0</v>
      </c>
      <c r="H33" s="158">
        <f>ROUND((SUM(M30:M32))/1,2)</f>
        <v>0</v>
      </c>
      <c r="I33" s="158">
        <f>ROUND((SUM(I30:I32))/1,2)</f>
        <v>0</v>
      </c>
      <c r="J33" s="155"/>
      <c r="K33" s="155"/>
      <c r="L33" s="155">
        <f>ROUND((SUM(L30:L32))/1,2)</f>
        <v>0</v>
      </c>
      <c r="M33" s="155">
        <f>ROUND((SUM(M30:M32))/1,2)</f>
        <v>0</v>
      </c>
      <c r="N33" s="155"/>
      <c r="O33" s="155"/>
      <c r="P33" s="173">
        <f>ROUND((SUM(P30:P32))/1,2)</f>
        <v>22.65</v>
      </c>
      <c r="Q33" s="152"/>
      <c r="R33" s="152"/>
      <c r="S33" s="173">
        <f>ROUND((SUM(S30:S32))/1,2)</f>
        <v>0</v>
      </c>
      <c r="T33" s="152"/>
      <c r="U33" s="152"/>
      <c r="V33" s="152"/>
      <c r="W33" s="152"/>
      <c r="X33" s="152"/>
      <c r="Y33" s="152"/>
      <c r="Z33" s="152"/>
    </row>
    <row r="34" spans="1:19" ht="14.25">
      <c r="A34" s="1"/>
      <c r="B34" s="1"/>
      <c r="C34" s="1"/>
      <c r="D34" s="1"/>
      <c r="E34" s="1"/>
      <c r="F34" s="162"/>
      <c r="G34" s="148"/>
      <c r="H34" s="148"/>
      <c r="I34" s="148"/>
      <c r="J34" s="1"/>
      <c r="K34" s="1"/>
      <c r="L34" s="1"/>
      <c r="M34" s="1"/>
      <c r="N34" s="1"/>
      <c r="O34" s="1"/>
      <c r="P34" s="1"/>
      <c r="S34" s="1"/>
    </row>
    <row r="35" spans="1:26" ht="14.25">
      <c r="A35" s="155"/>
      <c r="B35" s="155"/>
      <c r="C35" s="155"/>
      <c r="D35" s="155" t="s">
        <v>70</v>
      </c>
      <c r="E35" s="155"/>
      <c r="F35" s="166"/>
      <c r="G35" s="156"/>
      <c r="H35" s="156"/>
      <c r="I35" s="156"/>
      <c r="J35" s="155"/>
      <c r="K35" s="155"/>
      <c r="L35" s="155"/>
      <c r="M35" s="155"/>
      <c r="N35" s="155"/>
      <c r="O35" s="155"/>
      <c r="P35" s="155"/>
      <c r="Q35" s="152"/>
      <c r="R35" s="152"/>
      <c r="S35" s="155"/>
      <c r="T35" s="152"/>
      <c r="U35" s="152"/>
      <c r="V35" s="152"/>
      <c r="W35" s="152"/>
      <c r="X35" s="152"/>
      <c r="Y35" s="152"/>
      <c r="Z35" s="152"/>
    </row>
    <row r="36" spans="1:26" ht="24.75" customHeight="1">
      <c r="A36" s="170">
        <v>17</v>
      </c>
      <c r="B36" s="167" t="s">
        <v>108</v>
      </c>
      <c r="C36" s="171" t="s">
        <v>131</v>
      </c>
      <c r="D36" s="167" t="s">
        <v>132</v>
      </c>
      <c r="E36" s="167" t="s">
        <v>102</v>
      </c>
      <c r="F36" s="168">
        <f>1.196*5</f>
        <v>5.9799999999999995</v>
      </c>
      <c r="G36" s="169"/>
      <c r="H36" s="169"/>
      <c r="I36" s="169">
        <f>ROUND(F36*(G36+H36),2)</f>
        <v>0</v>
      </c>
      <c r="J36" s="167">
        <f>ROUND(F36*(N36),2)</f>
        <v>52.56</v>
      </c>
      <c r="K36" s="1">
        <f>ROUND(F36*(O36),2)</f>
        <v>0</v>
      </c>
      <c r="L36" s="1">
        <f>ROUND(F36*(G36),2)</f>
        <v>0</v>
      </c>
      <c r="M36" s="1"/>
      <c r="N36" s="1">
        <v>8.79</v>
      </c>
      <c r="O36" s="1"/>
      <c r="P36" s="166">
        <f>ROUND(F36*(R36),3)</f>
        <v>0.004</v>
      </c>
      <c r="Q36" s="172"/>
      <c r="R36" s="172">
        <v>0.00063</v>
      </c>
      <c r="S36" s="166"/>
      <c r="Z36">
        <f>0.058844*POWER(I36,0.952797)</f>
        <v>0</v>
      </c>
    </row>
    <row r="37" spans="1:26" ht="24.75" customHeight="1">
      <c r="A37" s="170">
        <v>18</v>
      </c>
      <c r="B37" s="167" t="s">
        <v>108</v>
      </c>
      <c r="C37" s="171" t="s">
        <v>133</v>
      </c>
      <c r="D37" s="167" t="s">
        <v>134</v>
      </c>
      <c r="E37" s="167" t="s">
        <v>102</v>
      </c>
      <c r="F37" s="168">
        <f>17.8*5</f>
        <v>89</v>
      </c>
      <c r="G37" s="169"/>
      <c r="H37" s="169"/>
      <c r="I37" s="169">
        <f>ROUND(F37*(G37+H37),2)</f>
        <v>0</v>
      </c>
      <c r="J37" s="167">
        <f>ROUND(F37*(N37),2)</f>
        <v>319.51</v>
      </c>
      <c r="K37" s="1">
        <f>ROUND(F37*(O37),2)</f>
        <v>0</v>
      </c>
      <c r="L37" s="1">
        <f>ROUND(F37*(G37),2)</f>
        <v>0</v>
      </c>
      <c r="M37" s="1"/>
      <c r="N37" s="1">
        <v>3.59</v>
      </c>
      <c r="O37" s="1"/>
      <c r="P37" s="166">
        <f>ROUND(F37*(R37),3)</f>
        <v>0.004</v>
      </c>
      <c r="Q37" s="172"/>
      <c r="R37" s="172">
        <v>5E-05</v>
      </c>
      <c r="S37" s="166"/>
      <c r="Z37">
        <f>0.058844*POWER(I37,0.952797)</f>
        <v>0</v>
      </c>
    </row>
    <row r="38" spans="1:26" ht="14.25">
      <c r="A38" s="155"/>
      <c r="B38" s="155"/>
      <c r="C38" s="155"/>
      <c r="D38" s="155" t="s">
        <v>70</v>
      </c>
      <c r="E38" s="155"/>
      <c r="F38" s="166"/>
      <c r="G38" s="158">
        <f>ROUND((SUM(L35:L37))/1,2)</f>
        <v>0</v>
      </c>
      <c r="H38" s="158">
        <f>ROUND((SUM(M35:M37))/1,2)</f>
        <v>0</v>
      </c>
      <c r="I38" s="158">
        <f>ROUND((SUM(I35:I37))/1,2)</f>
        <v>0</v>
      </c>
      <c r="J38" s="155"/>
      <c r="K38" s="155"/>
      <c r="L38" s="155">
        <f>ROUND((SUM(L35:L37))/1,2)</f>
        <v>0</v>
      </c>
      <c r="M38" s="155">
        <f>ROUND((SUM(M35:M37))/1,2)</f>
        <v>0</v>
      </c>
      <c r="N38" s="155"/>
      <c r="O38" s="155"/>
      <c r="P38" s="173">
        <f>ROUND((SUM(P35:P37))/1,2)</f>
        <v>0.01</v>
      </c>
      <c r="Q38" s="152"/>
      <c r="R38" s="152"/>
      <c r="S38" s="173">
        <f>ROUND((SUM(S35:S37))/1,2)</f>
        <v>0</v>
      </c>
      <c r="T38" s="152"/>
      <c r="U38" s="152"/>
      <c r="V38" s="152"/>
      <c r="W38" s="152"/>
      <c r="X38" s="152"/>
      <c r="Y38" s="152"/>
      <c r="Z38" s="152"/>
    </row>
    <row r="39" spans="1:19" ht="14.25">
      <c r="A39" s="1"/>
      <c r="B39" s="1"/>
      <c r="C39" s="1"/>
      <c r="D39" s="1"/>
      <c r="E39" s="1"/>
      <c r="F39" s="162"/>
      <c r="G39" s="148"/>
      <c r="H39" s="148"/>
      <c r="I39" s="148"/>
      <c r="J39" s="1"/>
      <c r="K39" s="1"/>
      <c r="L39" s="1"/>
      <c r="M39" s="1"/>
      <c r="N39" s="1"/>
      <c r="O39" s="1"/>
      <c r="P39" s="1"/>
      <c r="S39" s="1"/>
    </row>
    <row r="40" spans="1:26" ht="14.25">
      <c r="A40" s="155"/>
      <c r="B40" s="155"/>
      <c r="C40" s="155"/>
      <c r="D40" s="155" t="s">
        <v>71</v>
      </c>
      <c r="E40" s="155"/>
      <c r="F40" s="166"/>
      <c r="G40" s="156"/>
      <c r="H40" s="156"/>
      <c r="I40" s="156"/>
      <c r="J40" s="155"/>
      <c r="K40" s="155"/>
      <c r="L40" s="155"/>
      <c r="M40" s="155"/>
      <c r="N40" s="155"/>
      <c r="O40" s="155"/>
      <c r="P40" s="155"/>
      <c r="Q40" s="152"/>
      <c r="R40" s="152"/>
      <c r="S40" s="155"/>
      <c r="T40" s="152"/>
      <c r="U40" s="152"/>
      <c r="V40" s="152"/>
      <c r="W40" s="152"/>
      <c r="X40" s="152"/>
      <c r="Y40" s="152"/>
      <c r="Z40" s="152"/>
    </row>
    <row r="41" spans="1:26" ht="24.75" customHeight="1">
      <c r="A41" s="170">
        <v>19</v>
      </c>
      <c r="B41" s="167" t="s">
        <v>108</v>
      </c>
      <c r="C41" s="171" t="s">
        <v>135</v>
      </c>
      <c r="D41" s="167" t="s">
        <v>136</v>
      </c>
      <c r="E41" s="167" t="s">
        <v>119</v>
      </c>
      <c r="F41" s="168">
        <f>23.332*5</f>
        <v>116.66</v>
      </c>
      <c r="G41" s="169"/>
      <c r="H41" s="169"/>
      <c r="I41" s="169">
        <f>ROUND(F41*(G41+H41),2)</f>
        <v>0</v>
      </c>
      <c r="J41" s="167">
        <f>ROUND(F41*(N41),2)</f>
        <v>1896.89</v>
      </c>
      <c r="K41" s="1">
        <f>ROUND(F41*(O41),2)</f>
        <v>0</v>
      </c>
      <c r="L41" s="1">
        <f>ROUND(F41*(G41),2)</f>
        <v>0</v>
      </c>
      <c r="M41" s="1"/>
      <c r="N41" s="1">
        <v>16.26</v>
      </c>
      <c r="O41" s="1"/>
      <c r="P41" s="166"/>
      <c r="Q41" s="172"/>
      <c r="R41" s="172"/>
      <c r="S41" s="166"/>
      <c r="Z41">
        <f>0.058844*POWER(I41,0.952797)</f>
        <v>0</v>
      </c>
    </row>
    <row r="42" spans="1:26" ht="24.75" customHeight="1">
      <c r="A42" s="170">
        <v>20</v>
      </c>
      <c r="B42" s="167" t="s">
        <v>108</v>
      </c>
      <c r="C42" s="171" t="s">
        <v>137</v>
      </c>
      <c r="D42" s="167" t="s">
        <v>138</v>
      </c>
      <c r="E42" s="167" t="s">
        <v>119</v>
      </c>
      <c r="F42" s="168">
        <f>23.332*5</f>
        <v>116.66</v>
      </c>
      <c r="G42" s="169"/>
      <c r="H42" s="169"/>
      <c r="I42" s="169">
        <f>ROUND(F42*(G42+H42),2)</f>
        <v>0</v>
      </c>
      <c r="J42" s="167">
        <f>ROUND(F42*(N42),2)</f>
        <v>858.62</v>
      </c>
      <c r="K42" s="1">
        <f>ROUND(F42*(O42),2)</f>
        <v>0</v>
      </c>
      <c r="L42" s="1">
        <f>ROUND(F42*(G42),2)</f>
        <v>0</v>
      </c>
      <c r="M42" s="1"/>
      <c r="N42" s="1">
        <v>7.36</v>
      </c>
      <c r="O42" s="1"/>
      <c r="P42" s="166"/>
      <c r="Q42" s="172"/>
      <c r="R42" s="172"/>
      <c r="S42" s="166"/>
      <c r="Z42">
        <f>0.058844*POWER(I42,0.952797)</f>
        <v>0</v>
      </c>
    </row>
    <row r="43" spans="1:26" ht="14.25">
      <c r="A43" s="155"/>
      <c r="B43" s="155"/>
      <c r="C43" s="155"/>
      <c r="D43" s="155" t="s">
        <v>71</v>
      </c>
      <c r="E43" s="155"/>
      <c r="F43" s="166"/>
      <c r="G43" s="158">
        <f>ROUND((SUM(L40:L42))/1,2)</f>
        <v>0</v>
      </c>
      <c r="H43" s="158">
        <f>ROUND((SUM(M40:M42))/1,2)</f>
        <v>0</v>
      </c>
      <c r="I43" s="158">
        <f>ROUND((SUM(I40:I42))/1,2)</f>
        <v>0</v>
      </c>
      <c r="J43" s="155"/>
      <c r="K43" s="155"/>
      <c r="L43" s="155">
        <f>ROUND((SUM(L40:L42))/1,2)</f>
        <v>0</v>
      </c>
      <c r="M43" s="155">
        <f>ROUND((SUM(M40:M42))/1,2)</f>
        <v>0</v>
      </c>
      <c r="N43" s="155"/>
      <c r="O43" s="155"/>
      <c r="P43" s="173">
        <f>ROUND((SUM(P40:P42))/1,2)</f>
        <v>0</v>
      </c>
      <c r="Q43" s="152"/>
      <c r="R43" s="152"/>
      <c r="S43" s="173">
        <f>ROUND((SUM(S40:S42))/1,2)</f>
        <v>0</v>
      </c>
      <c r="T43" s="152"/>
      <c r="U43" s="152"/>
      <c r="V43" s="152"/>
      <c r="W43" s="152"/>
      <c r="X43" s="152"/>
      <c r="Y43" s="152"/>
      <c r="Z43" s="152"/>
    </row>
    <row r="44" spans="1:19" ht="14.25">
      <c r="A44" s="1"/>
      <c r="B44" s="1"/>
      <c r="C44" s="1"/>
      <c r="D44" s="1"/>
      <c r="E44" s="1"/>
      <c r="F44" s="162"/>
      <c r="G44" s="148"/>
      <c r="H44" s="148"/>
      <c r="I44" s="148"/>
      <c r="J44" s="1"/>
      <c r="K44" s="1"/>
      <c r="L44" s="1"/>
      <c r="M44" s="1"/>
      <c r="N44" s="1"/>
      <c r="O44" s="1"/>
      <c r="P44" s="1"/>
      <c r="S44" s="1"/>
    </row>
    <row r="45" spans="1:19" ht="14.25">
      <c r="A45" s="155"/>
      <c r="B45" s="155"/>
      <c r="C45" s="155"/>
      <c r="D45" s="2" t="s">
        <v>66</v>
      </c>
      <c r="E45" s="155"/>
      <c r="F45" s="166"/>
      <c r="G45" s="158">
        <f>ROUND((SUM(L9:L44))/2,2)</f>
        <v>0</v>
      </c>
      <c r="H45" s="158">
        <f>ROUND((SUM(M9:M44))/2,2)</f>
        <v>0</v>
      </c>
      <c r="I45" s="158">
        <f>ROUND((SUM(I9:I44))/2,2)</f>
        <v>0</v>
      </c>
      <c r="J45" s="156"/>
      <c r="K45" s="155"/>
      <c r="L45" s="156">
        <f>ROUND((SUM(L9:L44))/2,2)</f>
        <v>0</v>
      </c>
      <c r="M45" s="156">
        <f>ROUND((SUM(M9:M44))/2,2)</f>
        <v>0</v>
      </c>
      <c r="N45" s="155"/>
      <c r="O45" s="155"/>
      <c r="P45" s="173">
        <f>ROUND((SUM(P9:P44))/2,2)</f>
        <v>114.67</v>
      </c>
      <c r="S45" s="173">
        <f>ROUND((SUM(S9:S44))/2,2)</f>
        <v>0</v>
      </c>
    </row>
    <row r="46" spans="1:19" ht="14.25">
      <c r="A46" s="1"/>
      <c r="B46" s="1"/>
      <c r="C46" s="1"/>
      <c r="D46" s="1"/>
      <c r="E46" s="1"/>
      <c r="F46" s="162"/>
      <c r="G46" s="148"/>
      <c r="H46" s="148"/>
      <c r="I46" s="148"/>
      <c r="J46" s="1"/>
      <c r="K46" s="1"/>
      <c r="L46" s="1"/>
      <c r="M46" s="1"/>
      <c r="N46" s="1"/>
      <c r="O46" s="1"/>
      <c r="P46" s="1"/>
      <c r="S46" s="1"/>
    </row>
    <row r="47" spans="1:26" ht="14.25">
      <c r="A47" s="155"/>
      <c r="B47" s="155"/>
      <c r="C47" s="155"/>
      <c r="D47" s="2" t="s">
        <v>72</v>
      </c>
      <c r="E47" s="155"/>
      <c r="F47" s="166"/>
      <c r="G47" s="156"/>
      <c r="H47" s="156"/>
      <c r="I47" s="156"/>
      <c r="J47" s="155"/>
      <c r="K47" s="155"/>
      <c r="L47" s="155"/>
      <c r="M47" s="155"/>
      <c r="N47" s="155"/>
      <c r="O47" s="155"/>
      <c r="P47" s="155"/>
      <c r="Q47" s="152"/>
      <c r="R47" s="152"/>
      <c r="S47" s="155"/>
      <c r="T47" s="152"/>
      <c r="U47" s="152"/>
      <c r="V47" s="152"/>
      <c r="W47" s="152"/>
      <c r="X47" s="152"/>
      <c r="Y47" s="152"/>
      <c r="Z47" s="152"/>
    </row>
    <row r="48" spans="1:26" ht="14.25">
      <c r="A48" s="155"/>
      <c r="B48" s="155"/>
      <c r="C48" s="155"/>
      <c r="D48" s="155" t="s">
        <v>73</v>
      </c>
      <c r="E48" s="155"/>
      <c r="F48" s="166"/>
      <c r="G48" s="156"/>
      <c r="H48" s="156"/>
      <c r="I48" s="156"/>
      <c r="J48" s="155"/>
      <c r="K48" s="155"/>
      <c r="L48" s="155"/>
      <c r="M48" s="155"/>
      <c r="N48" s="155"/>
      <c r="O48" s="155"/>
      <c r="P48" s="155"/>
      <c r="Q48" s="152"/>
      <c r="R48" s="152"/>
      <c r="S48" s="155"/>
      <c r="T48" s="152"/>
      <c r="U48" s="152"/>
      <c r="V48" s="152"/>
      <c r="W48" s="152"/>
      <c r="X48" s="152"/>
      <c r="Y48" s="152"/>
      <c r="Z48" s="152"/>
    </row>
    <row r="49" spans="1:26" ht="24.75" customHeight="1">
      <c r="A49" s="170">
        <v>21</v>
      </c>
      <c r="B49" s="167" t="s">
        <v>139</v>
      </c>
      <c r="C49" s="171" t="s">
        <v>140</v>
      </c>
      <c r="D49" s="167" t="s">
        <v>141</v>
      </c>
      <c r="E49" s="167" t="s">
        <v>102</v>
      </c>
      <c r="F49" s="168">
        <f>17.8*5</f>
        <v>89</v>
      </c>
      <c r="G49" s="169"/>
      <c r="H49" s="169"/>
      <c r="I49" s="169">
        <f aca="true" t="shared" si="10" ref="I49:I54">ROUND(F49*(G49+H49),2)</f>
        <v>0</v>
      </c>
      <c r="J49" s="167">
        <f aca="true" t="shared" si="11" ref="J49:J54">ROUND(F49*(N49),2)</f>
        <v>16.02</v>
      </c>
      <c r="K49" s="1">
        <f aca="true" t="shared" si="12" ref="K49:K54">ROUND(F49*(O49),2)</f>
        <v>0</v>
      </c>
      <c r="L49" s="1">
        <f>ROUND(F49*(G49),2)</f>
        <v>0</v>
      </c>
      <c r="M49" s="1"/>
      <c r="N49" s="1">
        <v>0.18</v>
      </c>
      <c r="O49" s="1"/>
      <c r="P49" s="166"/>
      <c r="Q49" s="172"/>
      <c r="R49" s="172"/>
      <c r="S49" s="166"/>
      <c r="Z49">
        <f aca="true" t="shared" si="13" ref="Z49:Z54">0.058844*POWER(I49,0.952797)</f>
        <v>0</v>
      </c>
    </row>
    <row r="50" spans="1:26" ht="24.75" customHeight="1">
      <c r="A50" s="170">
        <v>22</v>
      </c>
      <c r="B50" s="167" t="s">
        <v>139</v>
      </c>
      <c r="C50" s="171" t="s">
        <v>142</v>
      </c>
      <c r="D50" s="167" t="s">
        <v>143</v>
      </c>
      <c r="E50" s="167" t="s">
        <v>102</v>
      </c>
      <c r="F50" s="168">
        <f>17.8*5</f>
        <v>89</v>
      </c>
      <c r="G50" s="169"/>
      <c r="H50" s="169"/>
      <c r="I50" s="169">
        <f t="shared" si="10"/>
        <v>0</v>
      </c>
      <c r="J50" s="167">
        <f t="shared" si="11"/>
        <v>163.76</v>
      </c>
      <c r="K50" s="1">
        <f t="shared" si="12"/>
        <v>0</v>
      </c>
      <c r="L50" s="1">
        <f>ROUND(F50*(G50),2)</f>
        <v>0</v>
      </c>
      <c r="M50" s="1"/>
      <c r="N50" s="1">
        <v>1.8399999999999999</v>
      </c>
      <c r="O50" s="1"/>
      <c r="P50" s="166">
        <f>ROUND(F50*(R50),3)</f>
        <v>0.048</v>
      </c>
      <c r="Q50" s="172"/>
      <c r="R50" s="172">
        <v>0.00054</v>
      </c>
      <c r="S50" s="166"/>
      <c r="Z50">
        <f t="shared" si="13"/>
        <v>0</v>
      </c>
    </row>
    <row r="51" spans="1:26" ht="24.75" customHeight="1">
      <c r="A51" s="170">
        <v>23</v>
      </c>
      <c r="B51" s="167" t="s">
        <v>139</v>
      </c>
      <c r="C51" s="171" t="s">
        <v>144</v>
      </c>
      <c r="D51" s="167" t="s">
        <v>145</v>
      </c>
      <c r="E51" s="167" t="s">
        <v>146</v>
      </c>
      <c r="F51" s="168">
        <f>97.03472*5</f>
        <v>485.17359999999996</v>
      </c>
      <c r="G51" s="174"/>
      <c r="H51" s="174"/>
      <c r="I51" s="174">
        <f t="shared" si="10"/>
        <v>0</v>
      </c>
      <c r="J51" s="167">
        <f t="shared" si="11"/>
        <v>14.07</v>
      </c>
      <c r="K51" s="1">
        <f t="shared" si="12"/>
        <v>0</v>
      </c>
      <c r="L51" s="1">
        <f>ROUND(F51*(G51),2)</f>
        <v>0</v>
      </c>
      <c r="M51" s="1"/>
      <c r="N51" s="1">
        <v>0.029</v>
      </c>
      <c r="O51" s="1"/>
      <c r="P51" s="166"/>
      <c r="Q51" s="172"/>
      <c r="R51" s="172"/>
      <c r="S51" s="166"/>
      <c r="Z51">
        <f t="shared" si="13"/>
        <v>0</v>
      </c>
    </row>
    <row r="52" spans="1:26" ht="24.75" customHeight="1">
      <c r="A52" s="170">
        <v>24</v>
      </c>
      <c r="B52" s="167" t="s">
        <v>147</v>
      </c>
      <c r="C52" s="171" t="s">
        <v>148</v>
      </c>
      <c r="D52" s="167" t="s">
        <v>149</v>
      </c>
      <c r="E52" s="167" t="s">
        <v>150</v>
      </c>
      <c r="F52" s="168">
        <f>19.936*5</f>
        <v>99.68</v>
      </c>
      <c r="G52" s="169"/>
      <c r="H52" s="169"/>
      <c r="I52" s="169">
        <f t="shared" si="10"/>
        <v>0</v>
      </c>
      <c r="J52" s="167">
        <f t="shared" si="11"/>
        <v>251.19</v>
      </c>
      <c r="K52" s="1">
        <f t="shared" si="12"/>
        <v>0</v>
      </c>
      <c r="L52" s="1"/>
      <c r="M52" s="1">
        <f>ROUND(F52*(H52),2)</f>
        <v>0</v>
      </c>
      <c r="N52" s="1">
        <v>2.52</v>
      </c>
      <c r="O52" s="1"/>
      <c r="P52" s="166">
        <f>ROUND(F52*(R52),3)</f>
        <v>0.387</v>
      </c>
      <c r="Q52" s="172"/>
      <c r="R52" s="172">
        <v>0.00388</v>
      </c>
      <c r="S52" s="166"/>
      <c r="Z52">
        <f t="shared" si="13"/>
        <v>0</v>
      </c>
    </row>
    <row r="53" spans="1:26" ht="24.75" customHeight="1">
      <c r="A53" s="170">
        <v>25</v>
      </c>
      <c r="B53" s="167" t="s">
        <v>147</v>
      </c>
      <c r="C53" s="171" t="s">
        <v>151</v>
      </c>
      <c r="D53" s="167" t="s">
        <v>152</v>
      </c>
      <c r="E53" s="167" t="s">
        <v>153</v>
      </c>
      <c r="F53" s="168">
        <v>5</v>
      </c>
      <c r="G53" s="169"/>
      <c r="H53" s="169"/>
      <c r="I53" s="169">
        <f t="shared" si="10"/>
        <v>0</v>
      </c>
      <c r="J53" s="167">
        <f t="shared" si="11"/>
        <v>43.05</v>
      </c>
      <c r="K53" s="1">
        <f t="shared" si="12"/>
        <v>0</v>
      </c>
      <c r="L53" s="1"/>
      <c r="M53" s="1">
        <f>ROUND(F53*(H53),2)</f>
        <v>0</v>
      </c>
      <c r="N53" s="1">
        <v>8.61</v>
      </c>
      <c r="O53" s="1"/>
      <c r="P53" s="166"/>
      <c r="Q53" s="172"/>
      <c r="R53" s="172"/>
      <c r="S53" s="166"/>
      <c r="Z53">
        <f t="shared" si="13"/>
        <v>0</v>
      </c>
    </row>
    <row r="54" spans="1:26" ht="24.75" customHeight="1">
      <c r="A54" s="170">
        <v>26</v>
      </c>
      <c r="B54" s="167" t="s">
        <v>154</v>
      </c>
      <c r="C54" s="171" t="s">
        <v>155</v>
      </c>
      <c r="D54" s="167" t="s">
        <v>156</v>
      </c>
      <c r="E54" s="167" t="s">
        <v>157</v>
      </c>
      <c r="F54" s="168">
        <v>5</v>
      </c>
      <c r="G54" s="169"/>
      <c r="H54" s="169"/>
      <c r="I54" s="169">
        <f t="shared" si="10"/>
        <v>0</v>
      </c>
      <c r="J54" s="167">
        <f t="shared" si="11"/>
        <v>11.15</v>
      </c>
      <c r="K54" s="1">
        <f t="shared" si="12"/>
        <v>0</v>
      </c>
      <c r="L54" s="1"/>
      <c r="M54" s="1">
        <f>ROUND(F54*(H54),2)</f>
        <v>0</v>
      </c>
      <c r="N54" s="1">
        <v>2.23</v>
      </c>
      <c r="O54" s="1"/>
      <c r="P54" s="166">
        <f>ROUND(F54*(R54),3)</f>
        <v>0.005</v>
      </c>
      <c r="Q54" s="172"/>
      <c r="R54" s="172">
        <v>0.001</v>
      </c>
      <c r="S54" s="166"/>
      <c r="Z54">
        <f t="shared" si="13"/>
        <v>0</v>
      </c>
    </row>
    <row r="55" spans="1:26" ht="14.25">
      <c r="A55" s="155"/>
      <c r="B55" s="155"/>
      <c r="C55" s="155"/>
      <c r="D55" s="155" t="s">
        <v>73</v>
      </c>
      <c r="E55" s="155"/>
      <c r="F55" s="166"/>
      <c r="G55" s="158">
        <f>ROUND((SUM(L48:L54))/1,2)</f>
        <v>0</v>
      </c>
      <c r="H55" s="158">
        <f>ROUND((SUM(M48:M54))/1,2)</f>
        <v>0</v>
      </c>
      <c r="I55" s="158">
        <f>ROUND((SUM(I48:I54))/1,2)</f>
        <v>0</v>
      </c>
      <c r="J55" s="155"/>
      <c r="K55" s="155"/>
      <c r="L55" s="155">
        <f>ROUND((SUM(L48:L54))/1,2)</f>
        <v>0</v>
      </c>
      <c r="M55" s="155">
        <f>ROUND((SUM(M48:M54))/1,2)</f>
        <v>0</v>
      </c>
      <c r="N55" s="155"/>
      <c r="O55" s="155"/>
      <c r="P55" s="173">
        <f>ROUND((SUM(P48:P54))/1,2)</f>
        <v>0.44</v>
      </c>
      <c r="Q55" s="152"/>
      <c r="R55" s="152"/>
      <c r="S55" s="173">
        <f>ROUND((SUM(S48:S54))/1,2)</f>
        <v>0</v>
      </c>
      <c r="T55" s="152"/>
      <c r="U55" s="152"/>
      <c r="V55" s="152"/>
      <c r="W55" s="152"/>
      <c r="X55" s="152"/>
      <c r="Y55" s="152"/>
      <c r="Z55" s="152"/>
    </row>
    <row r="56" spans="1:19" ht="14.25">
      <c r="A56" s="1"/>
      <c r="B56" s="1"/>
      <c r="C56" s="1"/>
      <c r="D56" s="1"/>
      <c r="E56" s="1"/>
      <c r="F56" s="162"/>
      <c r="G56" s="148"/>
      <c r="H56" s="148"/>
      <c r="I56" s="148"/>
      <c r="J56" s="1"/>
      <c r="K56" s="1"/>
      <c r="L56" s="1"/>
      <c r="M56" s="1"/>
      <c r="N56" s="1"/>
      <c r="O56" s="1"/>
      <c r="P56" s="1"/>
      <c r="S56" s="1"/>
    </row>
    <row r="57" spans="1:26" ht="14.25">
      <c r="A57" s="155"/>
      <c r="B57" s="155"/>
      <c r="C57" s="155"/>
      <c r="D57" s="155" t="s">
        <v>74</v>
      </c>
      <c r="E57" s="155"/>
      <c r="F57" s="166"/>
      <c r="G57" s="156"/>
      <c r="H57" s="156"/>
      <c r="I57" s="156"/>
      <c r="J57" s="155"/>
      <c r="K57" s="155"/>
      <c r="L57" s="155"/>
      <c r="M57" s="155"/>
      <c r="N57" s="155"/>
      <c r="O57" s="155"/>
      <c r="P57" s="155"/>
      <c r="Q57" s="152"/>
      <c r="R57" s="152"/>
      <c r="S57" s="155"/>
      <c r="T57" s="152"/>
      <c r="U57" s="152"/>
      <c r="V57" s="152"/>
      <c r="W57" s="152"/>
      <c r="X57" s="152"/>
      <c r="Y57" s="152"/>
      <c r="Z57" s="152"/>
    </row>
    <row r="58" spans="1:26" ht="24.75" customHeight="1">
      <c r="A58" s="170">
        <v>27</v>
      </c>
      <c r="B58" s="167" t="s">
        <v>158</v>
      </c>
      <c r="C58" s="171" t="s">
        <v>159</v>
      </c>
      <c r="D58" s="167" t="s">
        <v>160</v>
      </c>
      <c r="E58" s="167" t="s">
        <v>161</v>
      </c>
      <c r="F58" s="168">
        <f>2.4*5</f>
        <v>12</v>
      </c>
      <c r="G58" s="169"/>
      <c r="H58" s="169"/>
      <c r="I58" s="169">
        <f>ROUND(F58*(G58+H58),2)</f>
        <v>0</v>
      </c>
      <c r="J58" s="167">
        <f>ROUND(F58*(N58),2)</f>
        <v>152.64</v>
      </c>
      <c r="K58" s="1">
        <f>ROUND(F58*(O58),2)</f>
        <v>0</v>
      </c>
      <c r="L58" s="1">
        <f>ROUND(F58*(G58),2)</f>
        <v>0</v>
      </c>
      <c r="M58" s="1"/>
      <c r="N58" s="1">
        <v>12.72</v>
      </c>
      <c r="O58" s="1"/>
      <c r="P58" s="166">
        <f>ROUND(F58*(R58),3)</f>
        <v>0.033</v>
      </c>
      <c r="Q58" s="172"/>
      <c r="R58" s="172">
        <v>0.0027300000000000002</v>
      </c>
      <c r="S58" s="166"/>
      <c r="Z58">
        <f>0.058844*POWER(I58,0.952797)</f>
        <v>0</v>
      </c>
    </row>
    <row r="59" spans="1:26" ht="24.75" customHeight="1">
      <c r="A59" s="170">
        <v>28</v>
      </c>
      <c r="B59" s="167" t="s">
        <v>162</v>
      </c>
      <c r="C59" s="171" t="s">
        <v>163</v>
      </c>
      <c r="D59" s="167" t="s">
        <v>164</v>
      </c>
      <c r="E59" s="167" t="s">
        <v>146</v>
      </c>
      <c r="F59" s="168">
        <f>30.528*5</f>
        <v>152.64</v>
      </c>
      <c r="G59" s="174"/>
      <c r="H59" s="174"/>
      <c r="I59" s="174">
        <f>ROUND(F59*(G59+H59),2)</f>
        <v>0</v>
      </c>
      <c r="J59" s="167">
        <f>ROUND(F59*(N59),2)</f>
        <v>3.21</v>
      </c>
      <c r="K59" s="1">
        <f>ROUND(F59*(O59),2)</f>
        <v>0</v>
      </c>
      <c r="L59" s="1">
        <f>ROUND(F59*(G59),2)</f>
        <v>0</v>
      </c>
      <c r="M59" s="1"/>
      <c r="N59" s="1">
        <v>0.021</v>
      </c>
      <c r="O59" s="1"/>
      <c r="P59" s="166"/>
      <c r="Q59" s="172"/>
      <c r="R59" s="172"/>
      <c r="S59" s="166"/>
      <c r="Z59">
        <f>0.058844*POWER(I59,0.952797)</f>
        <v>0</v>
      </c>
    </row>
    <row r="60" spans="1:26" ht="14.25">
      <c r="A60" s="155"/>
      <c r="B60" s="155"/>
      <c r="C60" s="155"/>
      <c r="D60" s="155" t="s">
        <v>74</v>
      </c>
      <c r="E60" s="155"/>
      <c r="F60" s="166"/>
      <c r="G60" s="158">
        <f>ROUND((SUM(L57:L59))/1,2)</f>
        <v>0</v>
      </c>
      <c r="H60" s="158">
        <f>ROUND((SUM(M57:M59))/1,2)</f>
        <v>0</v>
      </c>
      <c r="I60" s="158">
        <f>ROUND((SUM(I57:I59))/1,2)</f>
        <v>0</v>
      </c>
      <c r="J60" s="155"/>
      <c r="K60" s="155"/>
      <c r="L60" s="155">
        <f>ROUND((SUM(L57:L59))/1,2)</f>
        <v>0</v>
      </c>
      <c r="M60" s="155">
        <f>ROUND((SUM(M57:M59))/1,2)</f>
        <v>0</v>
      </c>
      <c r="N60" s="155"/>
      <c r="O60" s="155"/>
      <c r="P60" s="173">
        <f>ROUND((SUM(P57:P59))/1,2)</f>
        <v>0.03</v>
      </c>
      <c r="Q60" s="152"/>
      <c r="R60" s="152"/>
      <c r="S60" s="173">
        <f>ROUND((SUM(S57:S59))/1,2)</f>
        <v>0</v>
      </c>
      <c r="T60" s="152"/>
      <c r="U60" s="152"/>
      <c r="V60" s="152"/>
      <c r="W60" s="152"/>
      <c r="X60" s="152"/>
      <c r="Y60" s="152"/>
      <c r="Z60" s="152"/>
    </row>
    <row r="61" spans="1:19" ht="14.25">
      <c r="A61" s="1"/>
      <c r="B61" s="1"/>
      <c r="C61" s="1"/>
      <c r="D61" s="1"/>
      <c r="E61" s="1"/>
      <c r="F61" s="162"/>
      <c r="G61" s="148"/>
      <c r="H61" s="148"/>
      <c r="I61" s="148"/>
      <c r="J61" s="1"/>
      <c r="K61" s="1"/>
      <c r="L61" s="1"/>
      <c r="M61" s="1"/>
      <c r="N61" s="1"/>
      <c r="O61" s="1"/>
      <c r="P61" s="1"/>
      <c r="S61" s="1"/>
    </row>
    <row r="62" spans="1:26" ht="14.25">
      <c r="A62" s="155"/>
      <c r="B62" s="155"/>
      <c r="C62" s="155"/>
      <c r="D62" s="155" t="s">
        <v>75</v>
      </c>
      <c r="E62" s="155"/>
      <c r="F62" s="166"/>
      <c r="G62" s="156"/>
      <c r="H62" s="156"/>
      <c r="I62" s="156"/>
      <c r="J62" s="155"/>
      <c r="K62" s="155"/>
      <c r="L62" s="155"/>
      <c r="M62" s="155"/>
      <c r="N62" s="155"/>
      <c r="O62" s="155"/>
      <c r="P62" s="155"/>
      <c r="Q62" s="152"/>
      <c r="R62" s="152"/>
      <c r="S62" s="155"/>
      <c r="T62" s="152"/>
      <c r="U62" s="152"/>
      <c r="V62" s="152"/>
      <c r="W62" s="152"/>
      <c r="X62" s="152"/>
      <c r="Y62" s="152"/>
      <c r="Z62" s="152"/>
    </row>
    <row r="63" spans="1:26" ht="24.75" customHeight="1">
      <c r="A63" s="170">
        <v>29</v>
      </c>
      <c r="B63" s="167" t="s">
        <v>165</v>
      </c>
      <c r="C63" s="171" t="s">
        <v>166</v>
      </c>
      <c r="D63" s="167" t="s">
        <v>167</v>
      </c>
      <c r="E63" s="167" t="s">
        <v>168</v>
      </c>
      <c r="F63" s="168">
        <f>1*5</f>
        <v>5</v>
      </c>
      <c r="G63" s="169"/>
      <c r="H63" s="169"/>
      <c r="I63" s="169">
        <f aca="true" t="shared" si="14" ref="I63:I68">ROUND(F63*(G63+H63),2)</f>
        <v>0</v>
      </c>
      <c r="J63" s="167">
        <f aca="true" t="shared" si="15" ref="J63:J68">ROUND(F63*(N63),2)</f>
        <v>263</v>
      </c>
      <c r="K63" s="1">
        <f aca="true" t="shared" si="16" ref="K63:K68">ROUND(F63*(O63),2)</f>
        <v>0</v>
      </c>
      <c r="L63" s="1">
        <f>ROUND(F63*(G63),2)</f>
        <v>0</v>
      </c>
      <c r="M63" s="1"/>
      <c r="N63" s="1">
        <v>52.6</v>
      </c>
      <c r="O63" s="1"/>
      <c r="P63" s="166">
        <f>ROUND(F63*(R63),3)</f>
        <v>0.001</v>
      </c>
      <c r="Q63" s="172"/>
      <c r="R63" s="172">
        <v>0.000254706</v>
      </c>
      <c r="S63" s="166"/>
      <c r="Z63">
        <f aca="true" t="shared" si="17" ref="Z63:Z68">0.058844*POWER(I63,0.952797)</f>
        <v>0</v>
      </c>
    </row>
    <row r="64" spans="1:26" ht="24.75" customHeight="1">
      <c r="A64" s="170">
        <v>30</v>
      </c>
      <c r="B64" s="167" t="s">
        <v>169</v>
      </c>
      <c r="C64" s="171" t="s">
        <v>170</v>
      </c>
      <c r="D64" s="167" t="s">
        <v>171</v>
      </c>
      <c r="E64" s="167" t="s">
        <v>127</v>
      </c>
      <c r="F64" s="168">
        <f>1*5</f>
        <v>5</v>
      </c>
      <c r="G64" s="169"/>
      <c r="H64" s="169"/>
      <c r="I64" s="169">
        <f t="shared" si="14"/>
        <v>0</v>
      </c>
      <c r="J64" s="167">
        <f t="shared" si="15"/>
        <v>684.65</v>
      </c>
      <c r="K64" s="1">
        <f t="shared" si="16"/>
        <v>0</v>
      </c>
      <c r="L64" s="1">
        <f>ROUND(F64*(G64),2)</f>
        <v>0</v>
      </c>
      <c r="M64" s="1"/>
      <c r="N64" s="1">
        <v>136.93</v>
      </c>
      <c r="O64" s="1"/>
      <c r="P64" s="166"/>
      <c r="Q64" s="172"/>
      <c r="R64" s="172"/>
      <c r="S64" s="166"/>
      <c r="Z64">
        <f t="shared" si="17"/>
        <v>0</v>
      </c>
    </row>
    <row r="65" spans="1:26" ht="24.75" customHeight="1">
      <c r="A65" s="170">
        <v>31</v>
      </c>
      <c r="B65" s="167" t="s">
        <v>169</v>
      </c>
      <c r="C65" s="171" t="s">
        <v>172</v>
      </c>
      <c r="D65" s="167" t="s">
        <v>173</v>
      </c>
      <c r="E65" s="167" t="s">
        <v>146</v>
      </c>
      <c r="F65" s="168">
        <f>1879.53*5</f>
        <v>9397.65</v>
      </c>
      <c r="G65" s="174"/>
      <c r="H65" s="174"/>
      <c r="I65" s="174">
        <f t="shared" si="14"/>
        <v>0</v>
      </c>
      <c r="J65" s="167">
        <f t="shared" si="15"/>
        <v>93.98</v>
      </c>
      <c r="K65" s="1">
        <f t="shared" si="16"/>
        <v>0</v>
      </c>
      <c r="L65" s="1">
        <f>ROUND(F65*(G65),2)</f>
        <v>0</v>
      </c>
      <c r="M65" s="1"/>
      <c r="N65" s="1">
        <v>0.01</v>
      </c>
      <c r="O65" s="1"/>
      <c r="P65" s="166"/>
      <c r="Q65" s="172"/>
      <c r="R65" s="172"/>
      <c r="S65" s="166"/>
      <c r="Z65">
        <f t="shared" si="17"/>
        <v>0</v>
      </c>
    </row>
    <row r="66" spans="1:26" ht="24.75" customHeight="1">
      <c r="A66" s="170">
        <v>32</v>
      </c>
      <c r="B66" s="167" t="s">
        <v>120</v>
      </c>
      <c r="C66" s="171" t="s">
        <v>174</v>
      </c>
      <c r="D66" s="167" t="s">
        <v>175</v>
      </c>
      <c r="E66" s="167" t="s">
        <v>127</v>
      </c>
      <c r="F66" s="168">
        <v>5</v>
      </c>
      <c r="G66" s="169"/>
      <c r="H66" s="169"/>
      <c r="I66" s="169">
        <f t="shared" si="14"/>
        <v>0</v>
      </c>
      <c r="J66" s="167">
        <f t="shared" si="15"/>
        <v>4250</v>
      </c>
      <c r="K66" s="1">
        <f t="shared" si="16"/>
        <v>0</v>
      </c>
      <c r="L66" s="1"/>
      <c r="M66" s="1">
        <f>ROUND(F66*(H66),2)</f>
        <v>0</v>
      </c>
      <c r="N66" s="1">
        <v>850</v>
      </c>
      <c r="O66" s="1"/>
      <c r="P66" s="166"/>
      <c r="Q66" s="172"/>
      <c r="R66" s="172"/>
      <c r="S66" s="166"/>
      <c r="Z66">
        <f t="shared" si="17"/>
        <v>0</v>
      </c>
    </row>
    <row r="67" spans="1:26" ht="24.75" customHeight="1">
      <c r="A67" s="170">
        <v>33</v>
      </c>
      <c r="B67" s="167" t="s">
        <v>147</v>
      </c>
      <c r="C67" s="171" t="s">
        <v>176</v>
      </c>
      <c r="D67" s="167" t="s">
        <v>177</v>
      </c>
      <c r="E67" s="167" t="s">
        <v>127</v>
      </c>
      <c r="F67" s="168">
        <v>5</v>
      </c>
      <c r="G67" s="169"/>
      <c r="H67" s="169"/>
      <c r="I67" s="169">
        <f t="shared" si="14"/>
        <v>0</v>
      </c>
      <c r="J67" s="167">
        <f t="shared" si="15"/>
        <v>2700</v>
      </c>
      <c r="K67" s="1">
        <f t="shared" si="16"/>
        <v>0</v>
      </c>
      <c r="L67" s="1"/>
      <c r="M67" s="1">
        <f>ROUND(F67*(H67),2)</f>
        <v>0</v>
      </c>
      <c r="N67" s="1">
        <v>540</v>
      </c>
      <c r="O67" s="1"/>
      <c r="P67" s="166"/>
      <c r="Q67" s="172"/>
      <c r="R67" s="172"/>
      <c r="S67" s="166"/>
      <c r="Z67">
        <f t="shared" si="17"/>
        <v>0</v>
      </c>
    </row>
    <row r="68" spans="1:26" ht="24.75" customHeight="1">
      <c r="A68" s="170">
        <v>34</v>
      </c>
      <c r="B68" s="167" t="s">
        <v>147</v>
      </c>
      <c r="C68" s="171" t="s">
        <v>178</v>
      </c>
      <c r="D68" s="167" t="s">
        <v>179</v>
      </c>
      <c r="E68" s="167" t="s">
        <v>168</v>
      </c>
      <c r="F68" s="168">
        <v>5</v>
      </c>
      <c r="G68" s="169"/>
      <c r="H68" s="169"/>
      <c r="I68" s="169">
        <f t="shared" si="14"/>
        <v>0</v>
      </c>
      <c r="J68" s="167">
        <f t="shared" si="15"/>
        <v>1500</v>
      </c>
      <c r="K68" s="1">
        <f t="shared" si="16"/>
        <v>0</v>
      </c>
      <c r="L68" s="1"/>
      <c r="M68" s="1">
        <f>ROUND(F68*(H68),2)</f>
        <v>0</v>
      </c>
      <c r="N68" s="1">
        <v>300</v>
      </c>
      <c r="O68" s="1"/>
      <c r="P68" s="166"/>
      <c r="Q68" s="172"/>
      <c r="R68" s="172"/>
      <c r="S68" s="166"/>
      <c r="Z68">
        <f t="shared" si="17"/>
        <v>0</v>
      </c>
    </row>
    <row r="69" spans="1:26" ht="14.25">
      <c r="A69" s="155"/>
      <c r="B69" s="155"/>
      <c r="C69" s="155"/>
      <c r="D69" s="155" t="s">
        <v>75</v>
      </c>
      <c r="E69" s="155"/>
      <c r="F69" s="166"/>
      <c r="G69" s="158">
        <f>ROUND((SUM(L62:L68))/1,2)</f>
        <v>0</v>
      </c>
      <c r="H69" s="158">
        <f>ROUND((SUM(M62:M68))/1,2)</f>
        <v>0</v>
      </c>
      <c r="I69" s="158">
        <f>ROUND((SUM(I62:I68))/1,2)</f>
        <v>0</v>
      </c>
      <c r="J69" s="155"/>
      <c r="K69" s="155"/>
      <c r="L69" s="155">
        <f>ROUND((SUM(L62:L68))/1,2)</f>
        <v>0</v>
      </c>
      <c r="M69" s="155">
        <f>ROUND((SUM(M62:M68))/1,2)</f>
        <v>0</v>
      </c>
      <c r="N69" s="155"/>
      <c r="O69" s="155"/>
      <c r="P69" s="173">
        <f>ROUND((SUM(P62:P68))/1,2)</f>
        <v>0</v>
      </c>
      <c r="Q69" s="152"/>
      <c r="R69" s="152"/>
      <c r="S69" s="173">
        <f>ROUND((SUM(S62:S68))/1,2)</f>
        <v>0</v>
      </c>
      <c r="T69" s="152"/>
      <c r="U69" s="152"/>
      <c r="V69" s="152"/>
      <c r="W69" s="152"/>
      <c r="X69" s="152"/>
      <c r="Y69" s="152"/>
      <c r="Z69" s="152"/>
    </row>
    <row r="70" spans="1:19" ht="14.25">
      <c r="A70" s="1"/>
      <c r="B70" s="1"/>
      <c r="C70" s="1"/>
      <c r="D70" s="1"/>
      <c r="E70" s="1"/>
      <c r="F70" s="162"/>
      <c r="G70" s="148"/>
      <c r="H70" s="148"/>
      <c r="I70" s="148"/>
      <c r="J70" s="1"/>
      <c r="K70" s="1"/>
      <c r="L70" s="1"/>
      <c r="M70" s="1"/>
      <c r="N70" s="1"/>
      <c r="O70" s="1"/>
      <c r="P70" s="1"/>
      <c r="S70" s="1"/>
    </row>
    <row r="71" spans="1:19" ht="14.25">
      <c r="A71" s="155"/>
      <c r="B71" s="155"/>
      <c r="C71" s="155"/>
      <c r="D71" s="2" t="s">
        <v>72</v>
      </c>
      <c r="E71" s="155"/>
      <c r="F71" s="166"/>
      <c r="G71" s="158">
        <f>ROUND((SUM(L47:L70))/2,2)</f>
        <v>0</v>
      </c>
      <c r="H71" s="158">
        <f>ROUND((SUM(M47:M70))/2,2)</f>
        <v>0</v>
      </c>
      <c r="I71" s="158">
        <f>ROUND((SUM(I47:I70))/2,2)</f>
        <v>0</v>
      </c>
      <c r="J71" s="156"/>
      <c r="K71" s="155"/>
      <c r="L71" s="156">
        <f>ROUND((SUM(L47:L70))/2,2)</f>
        <v>0</v>
      </c>
      <c r="M71" s="156">
        <f>ROUND((SUM(M47:M70))/2,2)</f>
        <v>0</v>
      </c>
      <c r="N71" s="155"/>
      <c r="O71" s="155"/>
      <c r="P71" s="173">
        <f>ROUND((SUM(P47:P70))/2,2)</f>
        <v>0.47</v>
      </c>
      <c r="S71" s="173">
        <f>ROUND((SUM(S47:S70))/2,2)</f>
        <v>0</v>
      </c>
    </row>
    <row r="72" spans="1:19" ht="14.25">
      <c r="A72" s="1"/>
      <c r="B72" s="1"/>
      <c r="C72" s="1"/>
      <c r="D72" s="1"/>
      <c r="E72" s="1"/>
      <c r="F72" s="162"/>
      <c r="G72" s="148"/>
      <c r="H72" s="148"/>
      <c r="I72" s="148"/>
      <c r="J72" s="1"/>
      <c r="K72" s="1"/>
      <c r="L72" s="1"/>
      <c r="M72" s="1"/>
      <c r="N72" s="1"/>
      <c r="O72" s="1"/>
      <c r="P72" s="1"/>
      <c r="S72" s="1"/>
    </row>
    <row r="73" spans="1:26" ht="14.25">
      <c r="A73" s="155"/>
      <c r="B73" s="155"/>
      <c r="C73" s="155"/>
      <c r="D73" s="2" t="s">
        <v>76</v>
      </c>
      <c r="E73" s="155"/>
      <c r="F73" s="166"/>
      <c r="G73" s="156"/>
      <c r="H73" s="156"/>
      <c r="I73" s="156"/>
      <c r="J73" s="155"/>
      <c r="K73" s="155"/>
      <c r="L73" s="155"/>
      <c r="M73" s="155"/>
      <c r="N73" s="155"/>
      <c r="O73" s="155"/>
      <c r="P73" s="155"/>
      <c r="Q73" s="152"/>
      <c r="R73" s="152"/>
      <c r="S73" s="155"/>
      <c r="T73" s="152"/>
      <c r="U73" s="152"/>
      <c r="V73" s="152"/>
      <c r="W73" s="152"/>
      <c r="X73" s="152"/>
      <c r="Y73" s="152"/>
      <c r="Z73" s="152"/>
    </row>
    <row r="74" spans="1:26" ht="14.25">
      <c r="A74" s="155"/>
      <c r="B74" s="155"/>
      <c r="C74" s="155"/>
      <c r="D74" s="155" t="s">
        <v>77</v>
      </c>
      <c r="E74" s="155"/>
      <c r="F74" s="166"/>
      <c r="G74" s="156"/>
      <c r="H74" s="156"/>
      <c r="I74" s="156"/>
      <c r="J74" s="155"/>
      <c r="K74" s="155"/>
      <c r="L74" s="155"/>
      <c r="M74" s="155"/>
      <c r="N74" s="155"/>
      <c r="O74" s="155"/>
      <c r="P74" s="155"/>
      <c r="Q74" s="152"/>
      <c r="R74" s="152"/>
      <c r="S74" s="155"/>
      <c r="T74" s="152"/>
      <c r="U74" s="152"/>
      <c r="V74" s="152"/>
      <c r="W74" s="152"/>
      <c r="X74" s="152"/>
      <c r="Y74" s="152"/>
      <c r="Z74" s="152"/>
    </row>
    <row r="75" spans="1:26" ht="24.75" customHeight="1">
      <c r="A75" s="170">
        <v>35</v>
      </c>
      <c r="B75" s="167" t="s">
        <v>180</v>
      </c>
      <c r="C75" s="171" t="s">
        <v>181</v>
      </c>
      <c r="D75" s="167" t="s">
        <v>182</v>
      </c>
      <c r="E75" s="167" t="s">
        <v>183</v>
      </c>
      <c r="F75" s="168">
        <v>5</v>
      </c>
      <c r="G75" s="169"/>
      <c r="H75" s="169"/>
      <c r="I75" s="169">
        <f>ROUND(F75*(G75+H75),2)</f>
        <v>0</v>
      </c>
      <c r="J75" s="167">
        <f>ROUND(F75*(N75),2)</f>
        <v>1400</v>
      </c>
      <c r="K75" s="1">
        <f>ROUND(F75*(O75),2)</f>
        <v>0</v>
      </c>
      <c r="L75" s="1">
        <f>ROUND(F75*(G75),2)</f>
        <v>0</v>
      </c>
      <c r="M75" s="1"/>
      <c r="N75" s="1">
        <v>280</v>
      </c>
      <c r="O75" s="1"/>
      <c r="P75" s="166"/>
      <c r="Q75" s="172"/>
      <c r="R75" s="172"/>
      <c r="S75" s="166"/>
      <c r="Z75">
        <f>0.058844*POWER(I75,0.952797)</f>
        <v>0</v>
      </c>
    </row>
    <row r="76" spans="1:19" ht="14.25">
      <c r="A76" s="155"/>
      <c r="B76" s="155"/>
      <c r="C76" s="155"/>
      <c r="D76" s="155" t="s">
        <v>77</v>
      </c>
      <c r="E76" s="155"/>
      <c r="F76" s="166"/>
      <c r="G76" s="158">
        <f>ROUND((SUM(L74:L75))/1,2)</f>
        <v>0</v>
      </c>
      <c r="H76" s="158">
        <f>ROUND((SUM(M74:M75))/1,2)</f>
        <v>0</v>
      </c>
      <c r="I76" s="158">
        <f>ROUND((SUM(I74:I75))/1,2)</f>
        <v>0</v>
      </c>
      <c r="J76" s="155"/>
      <c r="K76" s="155"/>
      <c r="L76" s="155">
        <f>ROUND((SUM(L74:L75))/1,2)</f>
        <v>0</v>
      </c>
      <c r="M76" s="155">
        <f>ROUND((SUM(M74:M75))/1,2)</f>
        <v>0</v>
      </c>
      <c r="N76" s="155"/>
      <c r="O76" s="155"/>
      <c r="P76" s="173">
        <f>ROUND((SUM(P74:P75))/1,2)</f>
        <v>0</v>
      </c>
      <c r="S76" s="166">
        <f>ROUND((SUM(S74:S75))/1,2)</f>
        <v>0</v>
      </c>
    </row>
    <row r="77" spans="1:19" ht="14.25">
      <c r="A77" s="1"/>
      <c r="B77" s="1"/>
      <c r="C77" s="1"/>
      <c r="D77" s="1"/>
      <c r="E77" s="1"/>
      <c r="F77" s="162"/>
      <c r="G77" s="148"/>
      <c r="H77" s="148"/>
      <c r="I77" s="148"/>
      <c r="J77" s="1"/>
      <c r="K77" s="1"/>
      <c r="L77" s="1"/>
      <c r="M77" s="1"/>
      <c r="N77" s="1"/>
      <c r="O77" s="1"/>
      <c r="P77" s="1"/>
      <c r="S77" s="1"/>
    </row>
    <row r="78" spans="1:19" ht="14.25">
      <c r="A78" s="155"/>
      <c r="B78" s="155"/>
      <c r="C78" s="155"/>
      <c r="D78" s="2" t="s">
        <v>76</v>
      </c>
      <c r="E78" s="155"/>
      <c r="F78" s="166"/>
      <c r="G78" s="158">
        <f>ROUND((SUM(L73:L77))/2,2)</f>
        <v>0</v>
      </c>
      <c r="H78" s="158">
        <f>ROUND((SUM(M73:M77))/2,2)</f>
        <v>0</v>
      </c>
      <c r="I78" s="158">
        <f>ROUND((SUM(I73:I77))/2,2)</f>
        <v>0</v>
      </c>
      <c r="J78" s="155"/>
      <c r="K78" s="155"/>
      <c r="L78" s="155">
        <f>ROUND((SUM(L73:L77))/2,2)</f>
        <v>0</v>
      </c>
      <c r="M78" s="155">
        <f>ROUND((SUM(M73:M77))/2,2)</f>
        <v>0</v>
      </c>
      <c r="N78" s="155"/>
      <c r="O78" s="155"/>
      <c r="P78" s="173">
        <f>ROUND((SUM(P73:P77))/2,2)</f>
        <v>0</v>
      </c>
      <c r="S78" s="173">
        <f>ROUND((SUM(S73:S77))/2,2)</f>
        <v>0</v>
      </c>
    </row>
    <row r="79" spans="1:26" ht="14.25">
      <c r="A79" s="178" t="s">
        <v>12</v>
      </c>
      <c r="B79" s="175"/>
      <c r="C79" s="175"/>
      <c r="D79" s="175"/>
      <c r="E79" s="175"/>
      <c r="F79" s="176" t="s">
        <v>78</v>
      </c>
      <c r="G79" s="177">
        <f>ROUND((SUM(L9:L78))/3,2)</f>
        <v>0</v>
      </c>
      <c r="H79" s="177">
        <f>ROUND((SUM(M9:M78))/3,2)</f>
        <v>0</v>
      </c>
      <c r="I79" s="177">
        <f>ROUND((SUM(I9:I78))/3,2)</f>
        <v>0</v>
      </c>
      <c r="J79" s="175"/>
      <c r="K79" s="175">
        <f>ROUND((SUM(K9:K78)),2)</f>
        <v>0</v>
      </c>
      <c r="L79" s="175">
        <f>ROUND((SUM(L9:L78))/3,2)</f>
        <v>0</v>
      </c>
      <c r="M79" s="175">
        <f>ROUND((SUM(M9:M78))/3,2)</f>
        <v>0</v>
      </c>
      <c r="N79" s="175"/>
      <c r="O79" s="175"/>
      <c r="P79" s="176">
        <f>ROUND((SUM(P9:P78))/3,2)</f>
        <v>115.14</v>
      </c>
      <c r="S79" s="176">
        <f>ROUND((SUM(S9:S78))/3,2)</f>
        <v>0</v>
      </c>
      <c r="Z79">
        <f>(SUM(Z9:Z78))</f>
        <v>0</v>
      </c>
    </row>
  </sheetData>
  <sheetProtection/>
  <printOptions gridLines="1" horizontalCentered="1"/>
  <pageMargins left="0.011111111111111112" right="0.011111111111111112" top="0.787401575" bottom="0.787401575" header="0.3" footer="0.3"/>
  <pageSetup orientation="portrait" paperSize="9" scale="85" r:id="rId1"/>
  <headerFooter>
    <oddHeader>&amp;C&amp;B&amp; Rozpočet FUTBAL TATRAN ARÉNA V PREŠOVE - GARÁŽE / SO 01 GARÁŽE TYPU A</oddHeader>
    <oddFooter xml:space="preserve">&amp;L&amp;7Spracované systémom Systematic®pyramida.wsn, tel.: 051 77 10 585&amp;RStrana &amp;P z &amp;N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D15" sqref="AD15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10" ht="18" customHeight="1">
      <c r="A3" s="11"/>
      <c r="B3" s="40" t="s">
        <v>184</v>
      </c>
      <c r="C3" s="41"/>
      <c r="D3" s="42"/>
      <c r="E3" s="42"/>
      <c r="F3" s="42"/>
      <c r="G3" s="17"/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10" ht="18" customHeight="1" thickBot="1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193">
        <v>43263</v>
      </c>
    </row>
    <row r="6" spans="1:10" ht="18" customHeight="1" thickTop="1">
      <c r="A6" s="11"/>
      <c r="B6" s="55" t="s">
        <v>21</v>
      </c>
      <c r="C6" s="51"/>
      <c r="D6" s="52"/>
      <c r="E6" s="52"/>
      <c r="F6" s="52"/>
      <c r="G6" s="56" t="s">
        <v>22</v>
      </c>
      <c r="H6" s="52"/>
      <c r="I6" s="53"/>
      <c r="J6" s="54"/>
    </row>
    <row r="7" spans="1:10" ht="18" customHeight="1">
      <c r="A7" s="11"/>
      <c r="B7" s="47"/>
      <c r="C7" s="48"/>
      <c r="D7" s="18"/>
      <c r="E7" s="18"/>
      <c r="F7" s="18"/>
      <c r="G7" s="57" t="s">
        <v>23</v>
      </c>
      <c r="H7" s="18"/>
      <c r="I7" s="29"/>
      <c r="J7" s="49"/>
    </row>
    <row r="8" spans="1:10" ht="18" customHeight="1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10" ht="18" customHeight="1">
      <c r="A10" s="11"/>
      <c r="B10" s="45" t="s">
        <v>25</v>
      </c>
      <c r="C10" s="20"/>
      <c r="D10" s="17"/>
      <c r="E10" s="17"/>
      <c r="F10" s="17"/>
      <c r="G10" s="46" t="s">
        <v>26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6" t="s">
        <v>27</v>
      </c>
      <c r="H11" s="17"/>
      <c r="I11" s="28"/>
      <c r="J11" s="32"/>
    </row>
    <row r="12" spans="1:10" ht="18" customHeight="1" thickTop="1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10" ht="18" customHeight="1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0" t="s">
        <v>28</v>
      </c>
      <c r="C15" s="91" t="s">
        <v>6</v>
      </c>
      <c r="D15" s="91" t="s">
        <v>56</v>
      </c>
      <c r="E15" s="92" t="s">
        <v>57</v>
      </c>
      <c r="F15" s="104" t="s">
        <v>58</v>
      </c>
      <c r="G15" s="58" t="s">
        <v>33</v>
      </c>
      <c r="H15" s="61" t="s">
        <v>34</v>
      </c>
      <c r="I15" s="27"/>
      <c r="J15" s="54"/>
    </row>
    <row r="16" spans="1:10" ht="18" customHeight="1">
      <c r="A16" s="11"/>
      <c r="B16" s="93">
        <v>1</v>
      </c>
      <c r="C16" s="94" t="s">
        <v>29</v>
      </c>
      <c r="D16" s="95">
        <f>'Rekap 15761'!B17</f>
        <v>0</v>
      </c>
      <c r="E16" s="96">
        <f>'Rekap 15761'!C17</f>
        <v>0</v>
      </c>
      <c r="F16" s="105">
        <f>'Rekap 15761'!D17</f>
        <v>0</v>
      </c>
      <c r="G16" s="59">
        <v>6</v>
      </c>
      <c r="H16" s="114" t="s">
        <v>35</v>
      </c>
      <c r="I16" s="128"/>
      <c r="J16" s="125">
        <v>0</v>
      </c>
    </row>
    <row r="17" spans="1:10" ht="18" customHeight="1">
      <c r="A17" s="11"/>
      <c r="B17" s="66">
        <v>2</v>
      </c>
      <c r="C17" s="70" t="s">
        <v>30</v>
      </c>
      <c r="D17" s="77">
        <f>'Rekap 15761'!B25</f>
        <v>0</v>
      </c>
      <c r="E17" s="75">
        <f>'Rekap 15761'!C25</f>
        <v>0</v>
      </c>
      <c r="F17" s="80">
        <f>'Rekap 15761'!D25</f>
        <v>0</v>
      </c>
      <c r="G17" s="60">
        <v>7</v>
      </c>
      <c r="H17" s="115" t="s">
        <v>36</v>
      </c>
      <c r="I17" s="128"/>
      <c r="J17" s="126">
        <f>'SO 15761'!Z104</f>
        <v>0</v>
      </c>
    </row>
    <row r="18" spans="1:10" ht="18" customHeight="1">
      <c r="A18" s="11"/>
      <c r="B18" s="67">
        <v>3</v>
      </c>
      <c r="C18" s="71" t="s">
        <v>31</v>
      </c>
      <c r="D18" s="78">
        <f>'Rekap 15761'!B29</f>
        <v>0</v>
      </c>
      <c r="E18" s="76">
        <f>'Rekap 15761'!C29</f>
        <v>0</v>
      </c>
      <c r="F18" s="81">
        <f>'Rekap 15761'!D29</f>
        <v>0</v>
      </c>
      <c r="G18" s="60">
        <v>8</v>
      </c>
      <c r="H18" s="115" t="s">
        <v>37</v>
      </c>
      <c r="I18" s="128"/>
      <c r="J18" s="126">
        <v>0</v>
      </c>
    </row>
    <row r="19" spans="1:10" ht="18" customHeight="1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10" ht="18" customHeight="1" thickBot="1">
      <c r="A20" s="11"/>
      <c r="B20" s="67">
        <v>5</v>
      </c>
      <c r="C20" s="73" t="s">
        <v>32</v>
      </c>
      <c r="D20" s="79"/>
      <c r="E20" s="99"/>
      <c r="F20" s="106">
        <f>SUM(F16:F19)</f>
        <v>0</v>
      </c>
      <c r="G20" s="60">
        <v>10</v>
      </c>
      <c r="H20" s="115" t="s">
        <v>32</v>
      </c>
      <c r="I20" s="130"/>
      <c r="J20" s="98">
        <f>SUM(J16:J19)</f>
        <v>0</v>
      </c>
    </row>
    <row r="21" spans="1:10" ht="18" customHeight="1" thickTop="1">
      <c r="A21" s="11"/>
      <c r="B21" s="64" t="s">
        <v>44</v>
      </c>
      <c r="C21" s="68" t="s">
        <v>7</v>
      </c>
      <c r="D21" s="74"/>
      <c r="E21" s="19"/>
      <c r="F21" s="97"/>
      <c r="G21" s="64" t="s">
        <v>52</v>
      </c>
      <c r="H21" s="61" t="s">
        <v>7</v>
      </c>
      <c r="I21" s="29"/>
      <c r="J21" s="131"/>
    </row>
    <row r="22" spans="1:26" ht="18" customHeight="1">
      <c r="A22" s="11"/>
      <c r="B22" s="59">
        <v>11</v>
      </c>
      <c r="C22" s="62" t="s">
        <v>45</v>
      </c>
      <c r="D22" s="86"/>
      <c r="E22" s="88" t="s">
        <v>50</v>
      </c>
      <c r="F22" s="80">
        <f>((F16*U22*0)+(F17*V22*0)+(F18*W22*0))/100</f>
        <v>0</v>
      </c>
      <c r="G22" s="59">
        <v>16</v>
      </c>
      <c r="H22" s="114" t="s">
        <v>53</v>
      </c>
      <c r="I22" s="129" t="s">
        <v>50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0">
        <v>12</v>
      </c>
      <c r="C23" s="63" t="s">
        <v>46</v>
      </c>
      <c r="D23" s="65"/>
      <c r="E23" s="88" t="s">
        <v>49</v>
      </c>
      <c r="F23" s="81">
        <f>((F16*U23*0)+(F17*V23*0)+(F18*W23*0))/100</f>
        <v>0</v>
      </c>
      <c r="G23" s="60">
        <v>17</v>
      </c>
      <c r="H23" s="115" t="s">
        <v>54</v>
      </c>
      <c r="I23" s="129" t="s">
        <v>50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0">
        <v>13</v>
      </c>
      <c r="C24" s="63" t="s">
        <v>47</v>
      </c>
      <c r="D24" s="65"/>
      <c r="E24" s="88" t="s">
        <v>50</v>
      </c>
      <c r="F24" s="81">
        <f>((F16*U24*0)+(F17*V24*0)+(F18*W24*0))/100</f>
        <v>0</v>
      </c>
      <c r="G24" s="60">
        <v>18</v>
      </c>
      <c r="H24" s="115" t="s">
        <v>55</v>
      </c>
      <c r="I24" s="129" t="s">
        <v>49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10" ht="18" customHeight="1" thickBot="1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32</v>
      </c>
      <c r="I26" s="130"/>
      <c r="J26" s="98">
        <f>SUM(J22:J25)+SUM(F22:F25)</f>
        <v>0</v>
      </c>
    </row>
    <row r="27" spans="1:10" ht="18" customHeight="1" thickTop="1">
      <c r="A27" s="11"/>
      <c r="B27" s="100"/>
      <c r="C27" s="142" t="s">
        <v>61</v>
      </c>
      <c r="D27" s="135"/>
      <c r="E27" s="101"/>
      <c r="F27" s="30"/>
      <c r="G27" s="108" t="s">
        <v>38</v>
      </c>
      <c r="H27" s="103" t="s">
        <v>39</v>
      </c>
      <c r="I27" s="29"/>
      <c r="J27" s="33"/>
    </row>
    <row r="28" spans="1:10" ht="18" customHeight="1">
      <c r="A28" s="11"/>
      <c r="B28" s="26"/>
      <c r="C28" s="133"/>
      <c r="D28" s="136"/>
      <c r="E28" s="22"/>
      <c r="F28" s="11"/>
      <c r="G28" s="109">
        <v>21</v>
      </c>
      <c r="H28" s="113" t="s">
        <v>40</v>
      </c>
      <c r="I28" s="121"/>
      <c r="J28" s="117">
        <f>F20+J20+F26+J26</f>
        <v>0</v>
      </c>
    </row>
    <row r="29" spans="1:10" ht="18" customHeight="1">
      <c r="A29" s="11"/>
      <c r="B29" s="82"/>
      <c r="C29" s="134"/>
      <c r="D29" s="137"/>
      <c r="E29" s="22"/>
      <c r="F29" s="11"/>
      <c r="G29" s="59">
        <v>22</v>
      </c>
      <c r="H29" s="114" t="s">
        <v>41</v>
      </c>
      <c r="I29" s="122">
        <f>J28-SUM('SO 15761'!K9:'SO 15761'!K103)</f>
        <v>0</v>
      </c>
      <c r="J29" s="118">
        <f>ROUND(((ROUND(I29,2)*20)*1/100),2)</f>
        <v>0</v>
      </c>
    </row>
    <row r="30" spans="1:10" ht="18" customHeight="1">
      <c r="A30" s="11"/>
      <c r="B30" s="23"/>
      <c r="C30" s="124"/>
      <c r="D30" s="128"/>
      <c r="E30" s="22"/>
      <c r="F30" s="11"/>
      <c r="G30" s="60">
        <v>23</v>
      </c>
      <c r="H30" s="115" t="s">
        <v>42</v>
      </c>
      <c r="I30" s="88">
        <f>SUM('SO 15761'!K9:'SO 15761'!K103)</f>
        <v>0</v>
      </c>
      <c r="J30" s="119">
        <f>ROUND(((ROUND(I30,2)*0)/100),2)</f>
        <v>0</v>
      </c>
    </row>
    <row r="31" spans="1:10" ht="18" customHeight="1">
      <c r="A31" s="11"/>
      <c r="B31" s="24"/>
      <c r="C31" s="138"/>
      <c r="D31" s="139"/>
      <c r="E31" s="22"/>
      <c r="F31" s="11"/>
      <c r="G31" s="109">
        <v>24</v>
      </c>
      <c r="H31" s="113" t="s">
        <v>32</v>
      </c>
      <c r="I31" s="112"/>
      <c r="J31" s="132">
        <f>SUM(J28:J30)</f>
        <v>0</v>
      </c>
    </row>
    <row r="32" spans="1:10" ht="18" customHeight="1" thickBot="1">
      <c r="A32" s="11"/>
      <c r="B32" s="47"/>
      <c r="C32" s="116"/>
      <c r="D32" s="123"/>
      <c r="E32" s="83"/>
      <c r="F32" s="84"/>
      <c r="G32" s="59" t="s">
        <v>43</v>
      </c>
      <c r="H32" s="116"/>
      <c r="I32" s="123"/>
      <c r="J32" s="120"/>
    </row>
    <row r="33" spans="1:10" ht="18" customHeight="1" thickTop="1">
      <c r="A33" s="11"/>
      <c r="B33" s="100"/>
      <c r="C33" s="101"/>
      <c r="D33" s="140" t="s">
        <v>59</v>
      </c>
      <c r="E33" s="15"/>
      <c r="F33" s="102"/>
      <c r="G33" s="110">
        <v>26</v>
      </c>
      <c r="H33" s="141" t="s">
        <v>60</v>
      </c>
      <c r="I33" s="30"/>
      <c r="J33" s="111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87401575" bottom="0.787401575" header="0.3" footer="0.3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4.25">
      <c r="A1" s="144" t="s">
        <v>21</v>
      </c>
      <c r="B1" s="143"/>
      <c r="C1" s="143"/>
      <c r="D1" s="144" t="s">
        <v>19</v>
      </c>
      <c r="E1" s="143"/>
      <c r="F1" s="143"/>
      <c r="W1">
        <v>30.126</v>
      </c>
    </row>
    <row r="2" spans="1:6" ht="14.25">
      <c r="A2" s="144" t="s">
        <v>25</v>
      </c>
      <c r="B2" s="143"/>
      <c r="C2" s="143"/>
      <c r="D2" s="144" t="s">
        <v>17</v>
      </c>
      <c r="E2" s="143"/>
      <c r="F2" s="143"/>
    </row>
    <row r="3" spans="1:6" ht="14.25">
      <c r="A3" s="144" t="s">
        <v>24</v>
      </c>
      <c r="B3" s="143"/>
      <c r="C3" s="143"/>
      <c r="D3" s="144" t="s">
        <v>228</v>
      </c>
      <c r="E3" s="143"/>
      <c r="F3" s="143"/>
    </row>
    <row r="4" spans="1:6" ht="14.25">
      <c r="A4" s="144" t="s">
        <v>1</v>
      </c>
      <c r="B4" s="143"/>
      <c r="C4" s="143"/>
      <c r="D4" s="143"/>
      <c r="E4" s="143"/>
      <c r="F4" s="143"/>
    </row>
    <row r="5" spans="1:6" ht="14.25">
      <c r="A5" s="144" t="s">
        <v>184</v>
      </c>
      <c r="B5" s="143"/>
      <c r="C5" s="143"/>
      <c r="D5" s="143"/>
      <c r="E5" s="143"/>
      <c r="F5" s="143"/>
    </row>
    <row r="6" spans="1:6" ht="14.25">
      <c r="A6" s="143"/>
      <c r="B6" s="143"/>
      <c r="C6" s="143"/>
      <c r="D6" s="143"/>
      <c r="E6" s="143"/>
      <c r="F6" s="143"/>
    </row>
    <row r="7" spans="1:6" ht="14.25">
      <c r="A7" s="143"/>
      <c r="B7" s="143"/>
      <c r="C7" s="143"/>
      <c r="D7" s="143"/>
      <c r="E7" s="143"/>
      <c r="F7" s="143"/>
    </row>
    <row r="8" spans="1:6" ht="14.25">
      <c r="A8" s="145" t="s">
        <v>65</v>
      </c>
      <c r="B8" s="143"/>
      <c r="C8" s="143"/>
      <c r="D8" s="143"/>
      <c r="E8" s="143"/>
      <c r="F8" s="143"/>
    </row>
    <row r="9" spans="1:6" ht="14.25">
      <c r="A9" s="146" t="s">
        <v>62</v>
      </c>
      <c r="B9" s="146" t="s">
        <v>56</v>
      </c>
      <c r="C9" s="146" t="s">
        <v>57</v>
      </c>
      <c r="D9" s="146" t="s">
        <v>32</v>
      </c>
      <c r="E9" s="146" t="s">
        <v>63</v>
      </c>
      <c r="F9" s="146" t="s">
        <v>64</v>
      </c>
    </row>
    <row r="10" spans="1:26" ht="14.25">
      <c r="A10" s="153" t="s">
        <v>66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ht="14.25">
      <c r="A11" s="155" t="s">
        <v>67</v>
      </c>
      <c r="B11" s="156">
        <f>'SO 15761'!L23</f>
        <v>0</v>
      </c>
      <c r="C11" s="156">
        <f>'SO 15761'!M23</f>
        <v>0</v>
      </c>
      <c r="D11" s="156">
        <f>'SO 15761'!I23</f>
        <v>0</v>
      </c>
      <c r="E11" s="157">
        <f>'SO 15761'!P23</f>
        <v>0</v>
      </c>
      <c r="F11" s="157">
        <f>'SO 15761'!S23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ht="14.25">
      <c r="A12" s="155" t="s">
        <v>68</v>
      </c>
      <c r="B12" s="156">
        <f>'SO 15761'!L33</f>
        <v>0</v>
      </c>
      <c r="C12" s="156">
        <f>'SO 15761'!M33</f>
        <v>0</v>
      </c>
      <c r="D12" s="156">
        <f>'SO 15761'!I33</f>
        <v>0</v>
      </c>
      <c r="E12" s="157">
        <f>'SO 15761'!P33</f>
        <v>98.79</v>
      </c>
      <c r="F12" s="157">
        <f>'SO 15761'!S33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14.25">
      <c r="A13" s="155" t="s">
        <v>69</v>
      </c>
      <c r="B13" s="156">
        <f>'SO 15761'!L41</f>
        <v>0</v>
      </c>
      <c r="C13" s="156">
        <f>'SO 15761'!M41</f>
        <v>0</v>
      </c>
      <c r="D13" s="156">
        <f>'SO 15761'!I41</f>
        <v>0</v>
      </c>
      <c r="E13" s="157">
        <f>'SO 15761'!P41</f>
        <v>37.51</v>
      </c>
      <c r="F13" s="157">
        <f>'SO 15761'!S41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ht="14.25">
      <c r="A14" s="155" t="s">
        <v>185</v>
      </c>
      <c r="B14" s="156">
        <f>'SO 15761'!L46</f>
        <v>0</v>
      </c>
      <c r="C14" s="156">
        <f>'SO 15761'!M46</f>
        <v>0</v>
      </c>
      <c r="D14" s="156">
        <f>'SO 15761'!I46</f>
        <v>0</v>
      </c>
      <c r="E14" s="157">
        <f>'SO 15761'!P46</f>
        <v>1.45</v>
      </c>
      <c r="F14" s="157">
        <f>'SO 15761'!S46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14.25">
      <c r="A15" s="155" t="s">
        <v>70</v>
      </c>
      <c r="B15" s="156">
        <f>'SO 15761'!L51</f>
        <v>0</v>
      </c>
      <c r="C15" s="156">
        <f>'SO 15761'!M51</f>
        <v>0</v>
      </c>
      <c r="D15" s="156">
        <f>'SO 15761'!I51</f>
        <v>0</v>
      </c>
      <c r="E15" s="157">
        <f>'SO 15761'!P51</f>
        <v>0.01</v>
      </c>
      <c r="F15" s="157">
        <f>'SO 15761'!S51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ht="14.25">
      <c r="A16" s="155" t="s">
        <v>71</v>
      </c>
      <c r="B16" s="156">
        <f>'SO 15761'!L56</f>
        <v>0</v>
      </c>
      <c r="C16" s="156">
        <f>'SO 15761'!M56</f>
        <v>0</v>
      </c>
      <c r="D16" s="156">
        <f>'SO 15761'!I56</f>
        <v>0</v>
      </c>
      <c r="E16" s="157">
        <f>'SO 15761'!P56</f>
        <v>0</v>
      </c>
      <c r="F16" s="157">
        <f>'SO 15761'!S56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ht="14.25">
      <c r="A17" s="2" t="s">
        <v>66</v>
      </c>
      <c r="B17" s="158">
        <f>'SO 15761'!L58</f>
        <v>0</v>
      </c>
      <c r="C17" s="158">
        <f>'SO 15761'!M58</f>
        <v>0</v>
      </c>
      <c r="D17" s="158">
        <f>'SO 15761'!I58</f>
        <v>0</v>
      </c>
      <c r="E17" s="159">
        <f>'SO 15761'!P58</f>
        <v>137.75</v>
      </c>
      <c r="F17" s="159">
        <f>'SO 15761'!S58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6" ht="14.25">
      <c r="A18" s="1"/>
      <c r="B18" s="148"/>
      <c r="C18" s="148"/>
      <c r="D18" s="148"/>
      <c r="E18" s="147"/>
      <c r="F18" s="147"/>
    </row>
    <row r="19" spans="1:26" ht="14.25">
      <c r="A19" s="2" t="s">
        <v>72</v>
      </c>
      <c r="B19" s="158"/>
      <c r="C19" s="156"/>
      <c r="D19" s="156"/>
      <c r="E19" s="157"/>
      <c r="F19" s="157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ht="14.25">
      <c r="A20" s="155" t="s">
        <v>73</v>
      </c>
      <c r="B20" s="156">
        <f>'SO 15761'!L70</f>
        <v>0</v>
      </c>
      <c r="C20" s="156">
        <f>'SO 15761'!M70</f>
        <v>0</v>
      </c>
      <c r="D20" s="156">
        <f>'SO 15761'!I70</f>
        <v>0</v>
      </c>
      <c r="E20" s="157">
        <f>'SO 15761'!P70</f>
        <v>0.67</v>
      </c>
      <c r="F20" s="157">
        <f>'SO 15761'!S70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ht="14.25">
      <c r="A21" s="155" t="s">
        <v>186</v>
      </c>
      <c r="B21" s="156">
        <f>'SO 15761'!L74</f>
        <v>0</v>
      </c>
      <c r="C21" s="156">
        <f>'SO 15761'!M74</f>
        <v>0</v>
      </c>
      <c r="D21" s="156">
        <f>'SO 15761'!I74</f>
        <v>0</v>
      </c>
      <c r="E21" s="157">
        <f>'SO 15761'!P74</f>
        <v>0.05</v>
      </c>
      <c r="F21" s="157">
        <f>'SO 15761'!S74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ht="14.25">
      <c r="A22" s="155" t="s">
        <v>74</v>
      </c>
      <c r="B22" s="156">
        <f>'SO 15761'!L79</f>
        <v>0</v>
      </c>
      <c r="C22" s="156">
        <f>'SO 15761'!M79</f>
        <v>0</v>
      </c>
      <c r="D22" s="156">
        <f>'SO 15761'!I79</f>
        <v>0</v>
      </c>
      <c r="E22" s="157">
        <f>'SO 15761'!P79</f>
        <v>0.03</v>
      </c>
      <c r="F22" s="157">
        <f>'SO 15761'!S79</f>
        <v>0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ht="14.25">
      <c r="A23" s="155" t="s">
        <v>187</v>
      </c>
      <c r="B23" s="156">
        <f>'SO 15761'!L84</f>
        <v>0</v>
      </c>
      <c r="C23" s="156">
        <f>'SO 15761'!M84</f>
        <v>0</v>
      </c>
      <c r="D23" s="156">
        <f>'SO 15761'!I84</f>
        <v>0</v>
      </c>
      <c r="E23" s="157">
        <f>'SO 15761'!P84</f>
        <v>0</v>
      </c>
      <c r="F23" s="157">
        <f>'SO 15761'!S84</f>
        <v>0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ht="14.25">
      <c r="A24" s="155" t="s">
        <v>75</v>
      </c>
      <c r="B24" s="156">
        <f>'SO 15761'!L94</f>
        <v>0</v>
      </c>
      <c r="C24" s="156">
        <f>'SO 15761'!M94</f>
        <v>0</v>
      </c>
      <c r="D24" s="156">
        <f>'SO 15761'!I94</f>
        <v>0</v>
      </c>
      <c r="E24" s="157">
        <f>'SO 15761'!P94</f>
        <v>0.02</v>
      </c>
      <c r="F24" s="157">
        <f>'SO 15761'!S94</f>
        <v>0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ht="14.25">
      <c r="A25" s="2" t="s">
        <v>72</v>
      </c>
      <c r="B25" s="158">
        <f>'SO 15761'!L96</f>
        <v>0</v>
      </c>
      <c r="C25" s="158">
        <f>'SO 15761'!M96</f>
        <v>0</v>
      </c>
      <c r="D25" s="158">
        <f>'SO 15761'!I96</f>
        <v>0</v>
      </c>
      <c r="E25" s="159">
        <f>'SO 15761'!P96</f>
        <v>0.77</v>
      </c>
      <c r="F25" s="159">
        <f>'SO 15761'!S96</f>
        <v>0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6" ht="14.25">
      <c r="A26" s="1"/>
      <c r="B26" s="148"/>
      <c r="C26" s="148"/>
      <c r="D26" s="148"/>
      <c r="E26" s="147"/>
      <c r="F26" s="147"/>
    </row>
    <row r="27" spans="1:26" ht="14.25">
      <c r="A27" s="2" t="s">
        <v>76</v>
      </c>
      <c r="B27" s="158"/>
      <c r="C27" s="156"/>
      <c r="D27" s="156"/>
      <c r="E27" s="157"/>
      <c r="F27" s="157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ht="14.25">
      <c r="A28" s="155" t="s">
        <v>77</v>
      </c>
      <c r="B28" s="156">
        <f>'SO 15761'!L101</f>
        <v>0</v>
      </c>
      <c r="C28" s="156">
        <f>'SO 15761'!M101</f>
        <v>0</v>
      </c>
      <c r="D28" s="156">
        <f>'SO 15761'!I101</f>
        <v>0</v>
      </c>
      <c r="E28" s="157">
        <f>'SO 15761'!P101</f>
        <v>0</v>
      </c>
      <c r="F28" s="157">
        <f>'SO 15761'!S101</f>
        <v>0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26" ht="14.25">
      <c r="A29" s="2" t="s">
        <v>76</v>
      </c>
      <c r="B29" s="158">
        <f>'SO 15761'!L103</f>
        <v>0</v>
      </c>
      <c r="C29" s="158">
        <f>'SO 15761'!M103</f>
        <v>0</v>
      </c>
      <c r="D29" s="158">
        <f>'SO 15761'!I103</f>
        <v>0</v>
      </c>
      <c r="E29" s="159">
        <f>'SO 15761'!P103</f>
        <v>0</v>
      </c>
      <c r="F29" s="159">
        <f>'SO 15761'!S103</f>
        <v>0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</row>
    <row r="30" spans="1:6" ht="14.25">
      <c r="A30" s="1"/>
      <c r="B30" s="148"/>
      <c r="C30" s="148"/>
      <c r="D30" s="148"/>
      <c r="E30" s="147"/>
      <c r="F30" s="147"/>
    </row>
    <row r="31" spans="1:26" ht="14.25">
      <c r="A31" s="2" t="s">
        <v>78</v>
      </c>
      <c r="B31" s="158">
        <f>'SO 15761'!L104</f>
        <v>0</v>
      </c>
      <c r="C31" s="158">
        <f>'SO 15761'!M104</f>
        <v>0</v>
      </c>
      <c r="D31" s="158">
        <f>'SO 15761'!I104</f>
        <v>0</v>
      </c>
      <c r="E31" s="159">
        <f>'SO 15761'!P104</f>
        <v>138.52</v>
      </c>
      <c r="F31" s="159">
        <f>'SO 15761'!S104</f>
        <v>0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6" ht="14.25">
      <c r="A32" s="1"/>
      <c r="B32" s="148"/>
      <c r="C32" s="148"/>
      <c r="D32" s="148"/>
      <c r="E32" s="147"/>
      <c r="F32" s="147"/>
    </row>
    <row r="33" spans="1:6" ht="14.25">
      <c r="A33" s="1"/>
      <c r="B33" s="148"/>
      <c r="C33" s="148"/>
      <c r="D33" s="148"/>
      <c r="E33" s="147"/>
      <c r="F33" s="147"/>
    </row>
    <row r="34" spans="1:6" ht="14.25">
      <c r="A34" s="1"/>
      <c r="B34" s="148"/>
      <c r="C34" s="148"/>
      <c r="D34" s="148"/>
      <c r="E34" s="147"/>
      <c r="F34" s="147"/>
    </row>
    <row r="35" spans="1:6" ht="14.25">
      <c r="A35" s="1"/>
      <c r="B35" s="148"/>
      <c r="C35" s="148"/>
      <c r="D35" s="148"/>
      <c r="E35" s="147"/>
      <c r="F35" s="147"/>
    </row>
    <row r="36" spans="1:6" ht="14.25">
      <c r="A36" s="1"/>
      <c r="B36" s="148"/>
      <c r="C36" s="148"/>
      <c r="D36" s="148"/>
      <c r="E36" s="147"/>
      <c r="F36" s="147"/>
    </row>
    <row r="37" spans="1:6" ht="14.25">
      <c r="A37" s="1"/>
      <c r="B37" s="148"/>
      <c r="C37" s="148"/>
      <c r="D37" s="148"/>
      <c r="E37" s="147"/>
      <c r="F37" s="147"/>
    </row>
    <row r="38" spans="1:6" ht="14.25">
      <c r="A38" s="1"/>
      <c r="B38" s="148"/>
      <c r="C38" s="148"/>
      <c r="D38" s="148"/>
      <c r="E38" s="147"/>
      <c r="F38" s="147"/>
    </row>
    <row r="39" spans="1:6" ht="14.25">
      <c r="A39" s="1"/>
      <c r="B39" s="148"/>
      <c r="C39" s="148"/>
      <c r="D39" s="148"/>
      <c r="E39" s="147"/>
      <c r="F39" s="147"/>
    </row>
    <row r="40" spans="1:6" ht="14.25">
      <c r="A40" s="1"/>
      <c r="B40" s="148"/>
      <c r="C40" s="148"/>
      <c r="D40" s="148"/>
      <c r="E40" s="147"/>
      <c r="F40" s="147"/>
    </row>
    <row r="41" spans="1:6" ht="14.25">
      <c r="A41" s="1"/>
      <c r="B41" s="148"/>
      <c r="C41" s="148"/>
      <c r="D41" s="148"/>
      <c r="E41" s="147"/>
      <c r="F41" s="147"/>
    </row>
    <row r="42" spans="1:6" ht="14.25">
      <c r="A42" s="1"/>
      <c r="B42" s="148"/>
      <c r="C42" s="148"/>
      <c r="D42" s="148"/>
      <c r="E42" s="147"/>
      <c r="F42" s="147"/>
    </row>
    <row r="43" spans="1:6" ht="14.25">
      <c r="A43" s="1"/>
      <c r="B43" s="148"/>
      <c r="C43" s="148"/>
      <c r="D43" s="148"/>
      <c r="E43" s="147"/>
      <c r="F43" s="147"/>
    </row>
    <row r="44" spans="1:6" ht="14.25">
      <c r="A44" s="1"/>
      <c r="B44" s="148"/>
      <c r="C44" s="148"/>
      <c r="D44" s="148"/>
      <c r="E44" s="147"/>
      <c r="F44" s="147"/>
    </row>
    <row r="45" spans="1:6" ht="14.25">
      <c r="A45" s="1"/>
      <c r="B45" s="148"/>
      <c r="C45" s="148"/>
      <c r="D45" s="148"/>
      <c r="E45" s="147"/>
      <c r="F45" s="147"/>
    </row>
    <row r="46" spans="1:6" ht="14.25">
      <c r="A46" s="1"/>
      <c r="B46" s="148"/>
      <c r="C46" s="148"/>
      <c r="D46" s="148"/>
      <c r="E46" s="147"/>
      <c r="F46" s="147"/>
    </row>
    <row r="47" spans="1:6" ht="14.25">
      <c r="A47" s="1"/>
      <c r="B47" s="148"/>
      <c r="C47" s="148"/>
      <c r="D47" s="148"/>
      <c r="E47" s="147"/>
      <c r="F47" s="147"/>
    </row>
    <row r="48" spans="1:6" ht="14.25">
      <c r="A48" s="1"/>
      <c r="B48" s="148"/>
      <c r="C48" s="148"/>
      <c r="D48" s="148"/>
      <c r="E48" s="147"/>
      <c r="F48" s="147"/>
    </row>
    <row r="49" spans="1:6" ht="14.25">
      <c r="A49" s="1"/>
      <c r="B49" s="148"/>
      <c r="C49" s="148"/>
      <c r="D49" s="148"/>
      <c r="E49" s="147"/>
      <c r="F49" s="147"/>
    </row>
    <row r="50" spans="1:6" ht="14.25">
      <c r="A50" s="1"/>
      <c r="B50" s="148"/>
      <c r="C50" s="148"/>
      <c r="D50" s="148"/>
      <c r="E50" s="147"/>
      <c r="F50" s="147"/>
    </row>
    <row r="51" spans="1:6" ht="14.25">
      <c r="A51" s="1"/>
      <c r="B51" s="148"/>
      <c r="C51" s="148"/>
      <c r="D51" s="148"/>
      <c r="E51" s="147"/>
      <c r="F51" s="147"/>
    </row>
    <row r="52" spans="1:6" ht="14.25">
      <c r="A52" s="1"/>
      <c r="B52" s="148"/>
      <c r="C52" s="148"/>
      <c r="D52" s="148"/>
      <c r="E52" s="147"/>
      <c r="F52" s="147"/>
    </row>
    <row r="53" spans="1:6" ht="14.25">
      <c r="A53" s="1"/>
      <c r="B53" s="148"/>
      <c r="C53" s="148"/>
      <c r="D53" s="148"/>
      <c r="E53" s="147"/>
      <c r="F53" s="147"/>
    </row>
    <row r="54" spans="1:6" ht="14.25">
      <c r="A54" s="1"/>
      <c r="B54" s="148"/>
      <c r="C54" s="148"/>
      <c r="D54" s="148"/>
      <c r="E54" s="147"/>
      <c r="F54" s="147"/>
    </row>
    <row r="55" spans="1:6" ht="14.25">
      <c r="A55" s="1"/>
      <c r="B55" s="148"/>
      <c r="C55" s="148"/>
      <c r="D55" s="148"/>
      <c r="E55" s="147"/>
      <c r="F55" s="147"/>
    </row>
    <row r="56" spans="1:6" ht="14.25">
      <c r="A56" s="1"/>
      <c r="B56" s="148"/>
      <c r="C56" s="148"/>
      <c r="D56" s="148"/>
      <c r="E56" s="147"/>
      <c r="F56" s="147"/>
    </row>
    <row r="57" spans="1:6" ht="14.25">
      <c r="A57" s="1"/>
      <c r="B57" s="148"/>
      <c r="C57" s="148"/>
      <c r="D57" s="148"/>
      <c r="E57" s="147"/>
      <c r="F57" s="147"/>
    </row>
    <row r="58" spans="1:6" ht="14.25">
      <c r="A58" s="1"/>
      <c r="B58" s="148"/>
      <c r="C58" s="148"/>
      <c r="D58" s="148"/>
      <c r="E58" s="147"/>
      <c r="F58" s="147"/>
    </row>
    <row r="59" spans="1:6" ht="14.25">
      <c r="A59" s="1"/>
      <c r="B59" s="148"/>
      <c r="C59" s="148"/>
      <c r="D59" s="148"/>
      <c r="E59" s="147"/>
      <c r="F59" s="147"/>
    </row>
    <row r="60" spans="1:6" ht="14.25">
      <c r="A60" s="1"/>
      <c r="B60" s="148"/>
      <c r="C60" s="148"/>
      <c r="D60" s="148"/>
      <c r="E60" s="147"/>
      <c r="F60" s="147"/>
    </row>
    <row r="61" spans="1:6" ht="14.25">
      <c r="A61" s="1"/>
      <c r="B61" s="148"/>
      <c r="C61" s="148"/>
      <c r="D61" s="148"/>
      <c r="E61" s="147"/>
      <c r="F61" s="147"/>
    </row>
    <row r="62" spans="1:6" ht="14.25">
      <c r="A62" s="1"/>
      <c r="B62" s="1"/>
      <c r="C62" s="1"/>
      <c r="D62" s="1"/>
      <c r="E62" s="1"/>
      <c r="F62" s="1"/>
    </row>
    <row r="63" spans="1:6" ht="14.25">
      <c r="A63" s="1"/>
      <c r="B63" s="1"/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  <row r="69" spans="1:6" ht="14.25">
      <c r="A69" s="1"/>
      <c r="B69" s="1"/>
      <c r="C69" s="1"/>
      <c r="D69" s="1"/>
      <c r="E69" s="1"/>
      <c r="F69" s="1"/>
    </row>
    <row r="70" spans="1:6" ht="14.25">
      <c r="A70" s="1"/>
      <c r="B70" s="1"/>
      <c r="C70" s="1"/>
      <c r="D70" s="1"/>
      <c r="E70" s="1"/>
      <c r="F70" s="1"/>
    </row>
    <row r="71" spans="1:6" ht="14.25">
      <c r="A71" s="1"/>
      <c r="B71" s="1"/>
      <c r="C71" s="1"/>
      <c r="D71" s="1"/>
      <c r="E71" s="1"/>
      <c r="F71" s="1"/>
    </row>
    <row r="72" spans="1:6" ht="14.25">
      <c r="A72" s="1"/>
      <c r="B72" s="1"/>
      <c r="C72" s="1"/>
      <c r="D72" s="1"/>
      <c r="E72" s="1"/>
      <c r="F72" s="1"/>
    </row>
    <row r="73" spans="1:6" ht="14.25">
      <c r="A73" s="1"/>
      <c r="B73" s="1"/>
      <c r="C73" s="1"/>
      <c r="D73" s="1"/>
      <c r="E73" s="1"/>
      <c r="F73" s="1"/>
    </row>
    <row r="74" spans="1:6" ht="14.25">
      <c r="A74" s="1"/>
      <c r="B74" s="1"/>
      <c r="C74" s="1"/>
      <c r="D74" s="1"/>
      <c r="E74" s="1"/>
      <c r="F74" s="1"/>
    </row>
    <row r="75" spans="1:6" ht="14.25">
      <c r="A75" s="1"/>
      <c r="B75" s="1"/>
      <c r="C75" s="1"/>
      <c r="D75" s="1"/>
      <c r="E75" s="1"/>
      <c r="F75" s="1"/>
    </row>
    <row r="76" spans="1:6" ht="14.25">
      <c r="A76" s="1"/>
      <c r="B76" s="1"/>
      <c r="C76" s="1"/>
      <c r="D76" s="1"/>
      <c r="E76" s="1"/>
      <c r="F76" s="1"/>
    </row>
    <row r="77" spans="1:6" ht="14.25">
      <c r="A77" s="1"/>
      <c r="B77" s="1"/>
      <c r="C77" s="1"/>
      <c r="D77" s="1"/>
      <c r="E77" s="1"/>
      <c r="F77" s="1"/>
    </row>
    <row r="78" spans="1:6" ht="14.25">
      <c r="A78" s="1"/>
      <c r="B78" s="1"/>
      <c r="C78" s="1"/>
      <c r="D78" s="1"/>
      <c r="E78" s="1"/>
      <c r="F78" s="1"/>
    </row>
    <row r="79" spans="1:6" ht="14.25">
      <c r="A79" s="1"/>
      <c r="B79" s="1"/>
      <c r="C79" s="1"/>
      <c r="D79" s="1"/>
      <c r="E79" s="1"/>
      <c r="F79" s="1"/>
    </row>
    <row r="80" spans="1:6" ht="14.25">
      <c r="A80" s="1"/>
      <c r="B80" s="1"/>
      <c r="C80" s="1"/>
      <c r="D80" s="1"/>
      <c r="E80" s="1"/>
      <c r="F80" s="1"/>
    </row>
    <row r="81" spans="1:6" ht="14.25">
      <c r="A81" s="1"/>
      <c r="B81" s="1"/>
      <c r="C81" s="1"/>
      <c r="D81" s="1"/>
      <c r="E81" s="1"/>
      <c r="F81" s="1"/>
    </row>
    <row r="82" spans="1:6" ht="14.25">
      <c r="A82" s="1"/>
      <c r="B82" s="1"/>
      <c r="C82" s="1"/>
      <c r="D82" s="1"/>
      <c r="E82" s="1"/>
      <c r="F82" s="1"/>
    </row>
    <row r="83" spans="1:6" ht="14.25">
      <c r="A83" s="1"/>
      <c r="B83" s="1"/>
      <c r="C83" s="1"/>
      <c r="D83" s="1"/>
      <c r="E83" s="1"/>
      <c r="F83" s="1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</sheetData>
  <sheetProtection/>
  <printOptions/>
  <pageMargins left="0.7" right="0.7" top="0.787401575" bottom="0.7874015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4"/>
  <sheetViews>
    <sheetView zoomScalePageLayoutView="0" workbookViewId="0" topLeftCell="A1">
      <pane ySplit="8" topLeftCell="A81" activePane="bottomLeft" state="frozen"/>
      <selection pane="topLeft" activeCell="A1" sqref="A1"/>
      <selection pane="bottomLeft" activeCell="G100" sqref="G100"/>
    </sheetView>
  </sheetViews>
  <sheetFormatPr defaultColWidth="9.140625" defaultRowHeight="1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5.7109375" style="0" customWidth="1"/>
    <col min="6" max="6" width="9.7109375" style="0" customWidth="1"/>
    <col min="7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4.25">
      <c r="A1" s="5" t="s">
        <v>21</v>
      </c>
      <c r="B1" s="3"/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4.25">
      <c r="A2" s="5" t="s">
        <v>25</v>
      </c>
      <c r="B2" s="3"/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4.25">
      <c r="A3" s="5" t="s">
        <v>24</v>
      </c>
      <c r="B3" s="3"/>
      <c r="C3" s="3"/>
      <c r="D3" s="3"/>
      <c r="E3" s="5" t="s">
        <v>228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4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4.25">
      <c r="A5" s="5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4.25">
      <c r="A7" s="13" t="s">
        <v>65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">
      <c r="A8" s="163" t="s">
        <v>79</v>
      </c>
      <c r="B8" s="163" t="s">
        <v>80</v>
      </c>
      <c r="C8" s="163" t="s">
        <v>81</v>
      </c>
      <c r="D8" s="163" t="s">
        <v>82</v>
      </c>
      <c r="E8" s="163" t="s">
        <v>83</v>
      </c>
      <c r="F8" s="163" t="s">
        <v>84</v>
      </c>
      <c r="G8" s="163" t="s">
        <v>56</v>
      </c>
      <c r="H8" s="163" t="s">
        <v>57</v>
      </c>
      <c r="I8" s="163" t="s">
        <v>85</v>
      </c>
      <c r="J8" s="163"/>
      <c r="K8" s="163"/>
      <c r="L8" s="163"/>
      <c r="M8" s="163"/>
      <c r="N8" s="163"/>
      <c r="O8" s="163"/>
      <c r="P8" s="163" t="s">
        <v>86</v>
      </c>
      <c r="Q8" s="160"/>
      <c r="R8" s="160"/>
      <c r="S8" s="163" t="s">
        <v>87</v>
      </c>
      <c r="T8" s="161"/>
      <c r="U8" s="161"/>
      <c r="V8" s="161"/>
      <c r="W8" s="161"/>
      <c r="X8" s="161"/>
      <c r="Y8" s="161"/>
      <c r="Z8" s="161"/>
    </row>
    <row r="9" spans="1:26" ht="14.25">
      <c r="A9" s="149"/>
      <c r="B9" s="149"/>
      <c r="C9" s="164"/>
      <c r="D9" s="153" t="s">
        <v>66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ht="14.25">
      <c r="A10" s="155"/>
      <c r="B10" s="155"/>
      <c r="C10" s="155"/>
      <c r="D10" s="155" t="s">
        <v>67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75" customHeight="1">
      <c r="A11" s="170">
        <v>1</v>
      </c>
      <c r="B11" s="167" t="s">
        <v>88</v>
      </c>
      <c r="C11" s="171" t="s">
        <v>89</v>
      </c>
      <c r="D11" s="167" t="s">
        <v>90</v>
      </c>
      <c r="E11" s="167" t="s">
        <v>91</v>
      </c>
      <c r="F11" s="168">
        <f>10.0464*5</f>
        <v>50.232</v>
      </c>
      <c r="G11" s="169"/>
      <c r="H11" s="169"/>
      <c r="I11" s="169">
        <f aca="true" t="shared" si="0" ref="I11:I22">ROUND(F11*(G11+H11),2)</f>
        <v>0</v>
      </c>
      <c r="J11" s="167">
        <f aca="true" t="shared" si="1" ref="J11:J22">ROUND(F11*(N11),2)</f>
        <v>265.73</v>
      </c>
      <c r="K11" s="1">
        <f aca="true" t="shared" si="2" ref="K11:K22">ROUND(F11*(O11),2)</f>
        <v>0</v>
      </c>
      <c r="L11" s="1">
        <f aca="true" t="shared" si="3" ref="L11:L22">ROUND(F11*(G11),2)</f>
        <v>0</v>
      </c>
      <c r="M11" s="1"/>
      <c r="N11" s="1">
        <v>5.29</v>
      </c>
      <c r="O11" s="1"/>
      <c r="P11" s="166"/>
      <c r="Q11" s="172"/>
      <c r="R11" s="172"/>
      <c r="S11" s="166"/>
      <c r="Z11">
        <v>0</v>
      </c>
    </row>
    <row r="12" spans="1:26" ht="24.75" customHeight="1">
      <c r="A12" s="170">
        <v>2</v>
      </c>
      <c r="B12" s="167" t="s">
        <v>88</v>
      </c>
      <c r="C12" s="171" t="s">
        <v>92</v>
      </c>
      <c r="D12" s="167" t="s">
        <v>93</v>
      </c>
      <c r="E12" s="167" t="s">
        <v>91</v>
      </c>
      <c r="F12" s="168">
        <f>10.046*5</f>
        <v>50.23</v>
      </c>
      <c r="G12" s="169"/>
      <c r="H12" s="169"/>
      <c r="I12" s="169">
        <f t="shared" si="0"/>
        <v>0</v>
      </c>
      <c r="J12" s="167">
        <f t="shared" si="1"/>
        <v>45.21</v>
      </c>
      <c r="K12" s="1">
        <f t="shared" si="2"/>
        <v>0</v>
      </c>
      <c r="L12" s="1">
        <f t="shared" si="3"/>
        <v>0</v>
      </c>
      <c r="M12" s="1"/>
      <c r="N12" s="1">
        <v>0.9</v>
      </c>
      <c r="O12" s="1"/>
      <c r="P12" s="166"/>
      <c r="Q12" s="172"/>
      <c r="R12" s="172"/>
      <c r="S12" s="166"/>
      <c r="Z12">
        <v>0</v>
      </c>
    </row>
    <row r="13" spans="1:26" ht="24.75" customHeight="1">
      <c r="A13" s="170">
        <v>3</v>
      </c>
      <c r="B13" s="167" t="s">
        <v>88</v>
      </c>
      <c r="C13" s="171" t="s">
        <v>188</v>
      </c>
      <c r="D13" s="167" t="s">
        <v>189</v>
      </c>
      <c r="E13" s="167" t="s">
        <v>91</v>
      </c>
      <c r="F13" s="168">
        <f>3.1682*5</f>
        <v>15.841000000000001</v>
      </c>
      <c r="G13" s="169"/>
      <c r="H13" s="169"/>
      <c r="I13" s="169">
        <f t="shared" si="0"/>
        <v>0</v>
      </c>
      <c r="J13" s="167">
        <f t="shared" si="1"/>
        <v>139.08</v>
      </c>
      <c r="K13" s="1">
        <f t="shared" si="2"/>
        <v>0</v>
      </c>
      <c r="L13" s="1">
        <f t="shared" si="3"/>
        <v>0</v>
      </c>
      <c r="M13" s="1"/>
      <c r="N13" s="1">
        <v>8.78</v>
      </c>
      <c r="O13" s="1"/>
      <c r="P13" s="166"/>
      <c r="Q13" s="172"/>
      <c r="R13" s="172"/>
      <c r="S13" s="166"/>
      <c r="Z13">
        <v>0</v>
      </c>
    </row>
    <row r="14" spans="1:26" ht="24.75" customHeight="1">
      <c r="A14" s="170">
        <v>4</v>
      </c>
      <c r="B14" s="167" t="s">
        <v>88</v>
      </c>
      <c r="C14" s="171" t="s">
        <v>190</v>
      </c>
      <c r="D14" s="167" t="s">
        <v>191</v>
      </c>
      <c r="E14" s="167" t="s">
        <v>91</v>
      </c>
      <c r="F14" s="168">
        <f>3.168*5</f>
        <v>15.84</v>
      </c>
      <c r="G14" s="169"/>
      <c r="H14" s="169"/>
      <c r="I14" s="169">
        <f t="shared" si="0"/>
        <v>0</v>
      </c>
      <c r="J14" s="167">
        <f t="shared" si="1"/>
        <v>12.67</v>
      </c>
      <c r="K14" s="1">
        <f t="shared" si="2"/>
        <v>0</v>
      </c>
      <c r="L14" s="1">
        <f t="shared" si="3"/>
        <v>0</v>
      </c>
      <c r="M14" s="1"/>
      <c r="N14" s="1">
        <v>0.8</v>
      </c>
      <c r="O14" s="1"/>
      <c r="P14" s="166"/>
      <c r="Q14" s="172"/>
      <c r="R14" s="172"/>
      <c r="S14" s="166"/>
      <c r="Z14">
        <v>0</v>
      </c>
    </row>
    <row r="15" spans="1:26" ht="24.75" customHeight="1">
      <c r="A15" s="170">
        <v>5</v>
      </c>
      <c r="B15" s="167" t="s">
        <v>88</v>
      </c>
      <c r="C15" s="171" t="s">
        <v>192</v>
      </c>
      <c r="D15" s="167" t="s">
        <v>193</v>
      </c>
      <c r="E15" s="167" t="s">
        <v>91</v>
      </c>
      <c r="F15" s="168">
        <f>0.6*5</f>
        <v>3</v>
      </c>
      <c r="G15" s="169"/>
      <c r="H15" s="169"/>
      <c r="I15" s="169">
        <f t="shared" si="0"/>
        <v>0</v>
      </c>
      <c r="J15" s="167">
        <f t="shared" si="1"/>
        <v>122.58</v>
      </c>
      <c r="K15" s="1">
        <f t="shared" si="2"/>
        <v>0</v>
      </c>
      <c r="L15" s="1">
        <f t="shared" si="3"/>
        <v>0</v>
      </c>
      <c r="M15" s="1"/>
      <c r="N15" s="1">
        <v>40.86</v>
      </c>
      <c r="O15" s="1"/>
      <c r="P15" s="166"/>
      <c r="Q15" s="172"/>
      <c r="R15" s="172"/>
      <c r="S15" s="166"/>
      <c r="Z15">
        <v>0</v>
      </c>
    </row>
    <row r="16" spans="1:26" ht="24.75" customHeight="1">
      <c r="A16" s="170">
        <v>6</v>
      </c>
      <c r="B16" s="167" t="s">
        <v>88</v>
      </c>
      <c r="C16" s="171" t="s">
        <v>194</v>
      </c>
      <c r="D16" s="167" t="s">
        <v>195</v>
      </c>
      <c r="E16" s="167" t="s">
        <v>91</v>
      </c>
      <c r="F16" s="168">
        <f>0.6*5</f>
        <v>3</v>
      </c>
      <c r="G16" s="169"/>
      <c r="H16" s="169"/>
      <c r="I16" s="169">
        <f t="shared" si="0"/>
        <v>0</v>
      </c>
      <c r="J16" s="167">
        <f t="shared" si="1"/>
        <v>24.54</v>
      </c>
      <c r="K16" s="1">
        <f t="shared" si="2"/>
        <v>0</v>
      </c>
      <c r="L16" s="1">
        <f t="shared" si="3"/>
        <v>0</v>
      </c>
      <c r="M16" s="1"/>
      <c r="N16" s="1">
        <v>8.18</v>
      </c>
      <c r="O16" s="1"/>
      <c r="P16" s="166"/>
      <c r="Q16" s="172"/>
      <c r="R16" s="172"/>
      <c r="S16" s="166"/>
      <c r="Z16">
        <v>0</v>
      </c>
    </row>
    <row r="17" spans="1:26" ht="24.75" customHeight="1">
      <c r="A17" s="170">
        <v>7</v>
      </c>
      <c r="B17" s="167" t="s">
        <v>88</v>
      </c>
      <c r="C17" s="171" t="s">
        <v>94</v>
      </c>
      <c r="D17" s="167" t="s">
        <v>95</v>
      </c>
      <c r="E17" s="167" t="s">
        <v>91</v>
      </c>
      <c r="F17" s="168">
        <f>13.814*5</f>
        <v>69.07</v>
      </c>
      <c r="G17" s="169"/>
      <c r="H17" s="169"/>
      <c r="I17" s="169">
        <f t="shared" si="0"/>
        <v>0</v>
      </c>
      <c r="J17" s="167">
        <f t="shared" si="1"/>
        <v>484.87</v>
      </c>
      <c r="K17" s="1">
        <f t="shared" si="2"/>
        <v>0</v>
      </c>
      <c r="L17" s="1">
        <f t="shared" si="3"/>
        <v>0</v>
      </c>
      <c r="M17" s="1"/>
      <c r="N17" s="1">
        <v>7.02</v>
      </c>
      <c r="O17" s="1"/>
      <c r="P17" s="166"/>
      <c r="Q17" s="172"/>
      <c r="R17" s="172"/>
      <c r="S17" s="166"/>
      <c r="Z17">
        <v>0</v>
      </c>
    </row>
    <row r="18" spans="1:26" ht="24.75" customHeight="1">
      <c r="A18" s="170">
        <v>8</v>
      </c>
      <c r="B18" s="167" t="s">
        <v>88</v>
      </c>
      <c r="C18" s="171" t="s">
        <v>196</v>
      </c>
      <c r="D18" s="167" t="s">
        <v>197</v>
      </c>
      <c r="E18" s="167" t="s">
        <v>91</v>
      </c>
      <c r="F18" s="168">
        <f>0.6*5</f>
        <v>3</v>
      </c>
      <c r="G18" s="169"/>
      <c r="H18" s="169"/>
      <c r="I18" s="169">
        <f t="shared" si="0"/>
        <v>0</v>
      </c>
      <c r="J18" s="167">
        <f t="shared" si="1"/>
        <v>22.8</v>
      </c>
      <c r="K18" s="1">
        <f t="shared" si="2"/>
        <v>0</v>
      </c>
      <c r="L18" s="1">
        <f t="shared" si="3"/>
        <v>0</v>
      </c>
      <c r="M18" s="1"/>
      <c r="N18" s="1">
        <v>7.6</v>
      </c>
      <c r="O18" s="1"/>
      <c r="P18" s="166"/>
      <c r="Q18" s="172"/>
      <c r="R18" s="172"/>
      <c r="S18" s="166"/>
      <c r="Z18">
        <v>0</v>
      </c>
    </row>
    <row r="19" spans="1:26" ht="24.75" customHeight="1">
      <c r="A19" s="170">
        <v>9</v>
      </c>
      <c r="B19" s="167" t="s">
        <v>88</v>
      </c>
      <c r="C19" s="171" t="s">
        <v>96</v>
      </c>
      <c r="D19" s="167" t="s">
        <v>97</v>
      </c>
      <c r="E19" s="167" t="s">
        <v>91</v>
      </c>
      <c r="F19" s="168">
        <f>13.214*5</f>
        <v>66.07000000000001</v>
      </c>
      <c r="G19" s="169"/>
      <c r="H19" s="169"/>
      <c r="I19" s="169">
        <f t="shared" si="0"/>
        <v>0</v>
      </c>
      <c r="J19" s="167">
        <f t="shared" si="1"/>
        <v>418.88</v>
      </c>
      <c r="K19" s="1">
        <f t="shared" si="2"/>
        <v>0</v>
      </c>
      <c r="L19" s="1">
        <f t="shared" si="3"/>
        <v>0</v>
      </c>
      <c r="M19" s="1"/>
      <c r="N19" s="1">
        <v>6.34</v>
      </c>
      <c r="O19" s="1"/>
      <c r="P19" s="166"/>
      <c r="Q19" s="172"/>
      <c r="R19" s="172"/>
      <c r="S19" s="166"/>
      <c r="Z19">
        <v>0</v>
      </c>
    </row>
    <row r="20" spans="1:26" ht="24.75" customHeight="1">
      <c r="A20" s="170">
        <v>10</v>
      </c>
      <c r="B20" s="167" t="s">
        <v>88</v>
      </c>
      <c r="C20" s="171" t="s">
        <v>98</v>
      </c>
      <c r="D20" s="167" t="s">
        <v>99</v>
      </c>
      <c r="E20" s="167" t="s">
        <v>91</v>
      </c>
      <c r="F20" s="168">
        <f>13.814*5</f>
        <v>69.07</v>
      </c>
      <c r="G20" s="169"/>
      <c r="H20" s="169"/>
      <c r="I20" s="169">
        <f t="shared" si="0"/>
        <v>0</v>
      </c>
      <c r="J20" s="167">
        <f t="shared" si="1"/>
        <v>58.02</v>
      </c>
      <c r="K20" s="1">
        <f t="shared" si="2"/>
        <v>0</v>
      </c>
      <c r="L20" s="1">
        <f t="shared" si="3"/>
        <v>0</v>
      </c>
      <c r="M20" s="1"/>
      <c r="N20" s="1">
        <v>0.84</v>
      </c>
      <c r="O20" s="1"/>
      <c r="P20" s="166"/>
      <c r="Q20" s="172"/>
      <c r="R20" s="172"/>
      <c r="S20" s="166"/>
      <c r="Z20">
        <v>0</v>
      </c>
    </row>
    <row r="21" spans="1:26" ht="24.75" customHeight="1">
      <c r="A21" s="170">
        <v>11</v>
      </c>
      <c r="B21" s="167" t="s">
        <v>88</v>
      </c>
      <c r="C21" s="171" t="s">
        <v>100</v>
      </c>
      <c r="D21" s="167" t="s">
        <v>101</v>
      </c>
      <c r="E21" s="167" t="s">
        <v>102</v>
      </c>
      <c r="F21" s="168">
        <f>17.94*5</f>
        <v>89.7</v>
      </c>
      <c r="G21" s="169"/>
      <c r="H21" s="169"/>
      <c r="I21" s="169">
        <f t="shared" si="0"/>
        <v>0</v>
      </c>
      <c r="J21" s="167">
        <f t="shared" si="1"/>
        <v>38.57</v>
      </c>
      <c r="K21" s="1">
        <f t="shared" si="2"/>
        <v>0</v>
      </c>
      <c r="L21" s="1">
        <f t="shared" si="3"/>
        <v>0</v>
      </c>
      <c r="M21" s="1"/>
      <c r="N21" s="1">
        <v>0.43</v>
      </c>
      <c r="O21" s="1"/>
      <c r="P21" s="166"/>
      <c r="Q21" s="172"/>
      <c r="R21" s="172"/>
      <c r="S21" s="166"/>
      <c r="Z21">
        <v>0</v>
      </c>
    </row>
    <row r="22" spans="1:26" ht="24.75" customHeight="1">
      <c r="A22" s="170">
        <v>12</v>
      </c>
      <c r="B22" s="167" t="s">
        <v>88</v>
      </c>
      <c r="C22" s="171" t="s">
        <v>103</v>
      </c>
      <c r="D22" s="167" t="s">
        <v>104</v>
      </c>
      <c r="E22" s="167" t="s">
        <v>91</v>
      </c>
      <c r="F22" s="168">
        <f>13.814*5</f>
        <v>69.07</v>
      </c>
      <c r="G22" s="169"/>
      <c r="H22" s="169"/>
      <c r="I22" s="169">
        <f t="shared" si="0"/>
        <v>0</v>
      </c>
      <c r="J22" s="167">
        <f t="shared" si="1"/>
        <v>690.7</v>
      </c>
      <c r="K22" s="1">
        <f t="shared" si="2"/>
        <v>0</v>
      </c>
      <c r="L22" s="1">
        <f t="shared" si="3"/>
        <v>0</v>
      </c>
      <c r="M22" s="1"/>
      <c r="N22" s="1">
        <v>10</v>
      </c>
      <c r="O22" s="1"/>
      <c r="P22" s="166"/>
      <c r="Q22" s="172"/>
      <c r="R22" s="172"/>
      <c r="S22" s="166"/>
      <c r="Z22">
        <v>0</v>
      </c>
    </row>
    <row r="23" spans="1:26" ht="14.25">
      <c r="A23" s="155"/>
      <c r="B23" s="155"/>
      <c r="C23" s="155"/>
      <c r="D23" s="155" t="s">
        <v>67</v>
      </c>
      <c r="E23" s="155"/>
      <c r="F23" s="166"/>
      <c r="G23" s="158">
        <f>ROUND((SUM(L10:L22))/1,2)</f>
        <v>0</v>
      </c>
      <c r="H23" s="158">
        <f>ROUND((SUM(M10:M22))/1,2)</f>
        <v>0</v>
      </c>
      <c r="I23" s="158">
        <f>ROUND((SUM(I10:I22))/1,2)</f>
        <v>0</v>
      </c>
      <c r="J23" s="155"/>
      <c r="K23" s="155"/>
      <c r="L23" s="155">
        <f>ROUND((SUM(L10:L22))/1,2)</f>
        <v>0</v>
      </c>
      <c r="M23" s="155">
        <f>ROUND((SUM(M10:M22))/1,2)</f>
        <v>0</v>
      </c>
      <c r="N23" s="155"/>
      <c r="O23" s="155"/>
      <c r="P23" s="173">
        <f>ROUND((SUM(P10:P22))/1,2)</f>
        <v>0</v>
      </c>
      <c r="Q23" s="152"/>
      <c r="R23" s="152"/>
      <c r="S23" s="173">
        <f>ROUND((SUM(S10:S22))/1,2)</f>
        <v>0</v>
      </c>
      <c r="T23" s="152"/>
      <c r="U23" s="152"/>
      <c r="V23" s="152"/>
      <c r="W23" s="152"/>
      <c r="X23" s="152"/>
      <c r="Y23" s="152"/>
      <c r="Z23" s="152"/>
    </row>
    <row r="24" spans="1:19" ht="14.25">
      <c r="A24" s="1"/>
      <c r="B24" s="1"/>
      <c r="C24" s="1"/>
      <c r="D24" s="1"/>
      <c r="E24" s="1"/>
      <c r="F24" s="162"/>
      <c r="G24" s="148"/>
      <c r="H24" s="148"/>
      <c r="I24" s="148"/>
      <c r="J24" s="1"/>
      <c r="K24" s="1"/>
      <c r="L24" s="1"/>
      <c r="M24" s="1"/>
      <c r="N24" s="1"/>
      <c r="O24" s="1"/>
      <c r="P24" s="1"/>
      <c r="S24" s="1"/>
    </row>
    <row r="25" spans="1:26" ht="14.25">
      <c r="A25" s="155"/>
      <c r="B25" s="155"/>
      <c r="C25" s="155"/>
      <c r="D25" s="155" t="s">
        <v>68</v>
      </c>
      <c r="E25" s="155"/>
      <c r="F25" s="166"/>
      <c r="G25" s="156"/>
      <c r="H25" s="156"/>
      <c r="I25" s="156"/>
      <c r="J25" s="155"/>
      <c r="K25" s="155"/>
      <c r="L25" s="155"/>
      <c r="M25" s="155"/>
      <c r="N25" s="155"/>
      <c r="O25" s="155"/>
      <c r="P25" s="155"/>
      <c r="Q25" s="152"/>
      <c r="R25" s="152"/>
      <c r="S25" s="155"/>
      <c r="T25" s="152"/>
      <c r="U25" s="152"/>
      <c r="V25" s="152"/>
      <c r="W25" s="152"/>
      <c r="X25" s="152"/>
      <c r="Y25" s="152"/>
      <c r="Z25" s="152"/>
    </row>
    <row r="26" spans="1:26" ht="24.75" customHeight="1">
      <c r="A26" s="170">
        <v>13</v>
      </c>
      <c r="B26" s="167" t="s">
        <v>105</v>
      </c>
      <c r="C26" s="171" t="s">
        <v>106</v>
      </c>
      <c r="D26" s="167" t="s">
        <v>107</v>
      </c>
      <c r="E26" s="167" t="s">
        <v>102</v>
      </c>
      <c r="F26" s="168">
        <f>5*17.8204</f>
        <v>89.102</v>
      </c>
      <c r="G26" s="169"/>
      <c r="H26" s="169"/>
      <c r="I26" s="169">
        <f aca="true" t="shared" si="4" ref="I26:I32">ROUND(F26*(G26+H26),2)</f>
        <v>0</v>
      </c>
      <c r="J26" s="167">
        <f aca="true" t="shared" si="5" ref="J26:J32">ROUND(F26*(N26),2)</f>
        <v>43.66</v>
      </c>
      <c r="K26" s="1">
        <f aca="true" t="shared" si="6" ref="K26:K32">ROUND(F26*(O26),2)</f>
        <v>0</v>
      </c>
      <c r="L26" s="1">
        <f aca="true" t="shared" si="7" ref="L26:L31">ROUND(F26*(G26),2)</f>
        <v>0</v>
      </c>
      <c r="M26" s="1"/>
      <c r="N26" s="1">
        <v>0.49</v>
      </c>
      <c r="O26" s="1"/>
      <c r="P26" s="166">
        <f>ROUND(F26*(R26),3)</f>
        <v>0.003</v>
      </c>
      <c r="Q26" s="172"/>
      <c r="R26" s="172">
        <v>3E-05</v>
      </c>
      <c r="S26" s="166"/>
      <c r="Z26">
        <v>0</v>
      </c>
    </row>
    <row r="27" spans="1:26" ht="24.75" customHeight="1">
      <c r="A27" s="170">
        <v>14</v>
      </c>
      <c r="B27" s="167" t="s">
        <v>108</v>
      </c>
      <c r="C27" s="171" t="s">
        <v>109</v>
      </c>
      <c r="D27" s="167" t="s">
        <v>110</v>
      </c>
      <c r="E27" s="167" t="s">
        <v>91</v>
      </c>
      <c r="F27" s="168">
        <f>5*5.608</f>
        <v>28.04</v>
      </c>
      <c r="G27" s="169"/>
      <c r="H27" s="169"/>
      <c r="I27" s="169">
        <f t="shared" si="4"/>
        <v>0</v>
      </c>
      <c r="J27" s="167">
        <f t="shared" si="5"/>
        <v>1098.61</v>
      </c>
      <c r="K27" s="1">
        <f t="shared" si="6"/>
        <v>0</v>
      </c>
      <c r="L27" s="1">
        <f t="shared" si="7"/>
        <v>0</v>
      </c>
      <c r="M27" s="1"/>
      <c r="N27" s="1">
        <v>39.18</v>
      </c>
      <c r="O27" s="1"/>
      <c r="P27" s="166">
        <f>ROUND(F27*(R27),3)</f>
        <v>58.043</v>
      </c>
      <c r="Q27" s="172"/>
      <c r="R27" s="172">
        <v>2.07</v>
      </c>
      <c r="S27" s="166"/>
      <c r="Z27">
        <v>0</v>
      </c>
    </row>
    <row r="28" spans="1:26" ht="24.75" customHeight="1">
      <c r="A28" s="170">
        <v>15</v>
      </c>
      <c r="B28" s="167" t="s">
        <v>108</v>
      </c>
      <c r="C28" s="171" t="s">
        <v>111</v>
      </c>
      <c r="D28" s="167" t="s">
        <v>112</v>
      </c>
      <c r="E28" s="167" t="s">
        <v>91</v>
      </c>
      <c r="F28" s="168">
        <f>5*3.62</f>
        <v>18.1</v>
      </c>
      <c r="G28" s="169"/>
      <c r="H28" s="169"/>
      <c r="I28" s="169">
        <f t="shared" si="4"/>
        <v>0</v>
      </c>
      <c r="J28" s="167">
        <f t="shared" si="5"/>
        <v>1466.28</v>
      </c>
      <c r="K28" s="1">
        <f t="shared" si="6"/>
        <v>0</v>
      </c>
      <c r="L28" s="1">
        <f t="shared" si="7"/>
        <v>0</v>
      </c>
      <c r="M28" s="1"/>
      <c r="N28" s="1">
        <v>81.01</v>
      </c>
      <c r="O28" s="1"/>
      <c r="P28" s="166">
        <f>ROUND(F28*(R28),3)</f>
        <v>39.718</v>
      </c>
      <c r="Q28" s="172"/>
      <c r="R28" s="172">
        <v>2.19433794</v>
      </c>
      <c r="S28" s="166"/>
      <c r="Z28">
        <v>0</v>
      </c>
    </row>
    <row r="29" spans="1:26" ht="24.75" customHeight="1">
      <c r="A29" s="170">
        <v>16</v>
      </c>
      <c r="B29" s="167" t="s">
        <v>108</v>
      </c>
      <c r="C29" s="171" t="s">
        <v>113</v>
      </c>
      <c r="D29" s="167" t="s">
        <v>114</v>
      </c>
      <c r="E29" s="167" t="s">
        <v>102</v>
      </c>
      <c r="F29" s="168">
        <f>5*6.74</f>
        <v>33.7</v>
      </c>
      <c r="G29" s="169"/>
      <c r="H29" s="169"/>
      <c r="I29" s="169">
        <f t="shared" si="4"/>
        <v>0</v>
      </c>
      <c r="J29" s="167">
        <f t="shared" si="5"/>
        <v>397.32</v>
      </c>
      <c r="K29" s="1">
        <f t="shared" si="6"/>
        <v>0</v>
      </c>
      <c r="L29" s="1">
        <f t="shared" si="7"/>
        <v>0</v>
      </c>
      <c r="M29" s="1"/>
      <c r="N29" s="1">
        <v>11.79</v>
      </c>
      <c r="O29" s="1"/>
      <c r="P29" s="166">
        <f>ROUND(F29*(R29),3)</f>
        <v>0.137</v>
      </c>
      <c r="Q29" s="172"/>
      <c r="R29" s="172">
        <v>0.00407</v>
      </c>
      <c r="S29" s="166"/>
      <c r="Z29">
        <v>0</v>
      </c>
    </row>
    <row r="30" spans="1:26" ht="24.75" customHeight="1">
      <c r="A30" s="170">
        <v>17</v>
      </c>
      <c r="B30" s="167" t="s">
        <v>108</v>
      </c>
      <c r="C30" s="171" t="s">
        <v>115</v>
      </c>
      <c r="D30" s="167" t="s">
        <v>116</v>
      </c>
      <c r="E30" s="167" t="s">
        <v>102</v>
      </c>
      <c r="F30" s="168">
        <f>5*6.74</f>
        <v>33.7</v>
      </c>
      <c r="G30" s="169"/>
      <c r="H30" s="169"/>
      <c r="I30" s="169">
        <f t="shared" si="4"/>
        <v>0</v>
      </c>
      <c r="J30" s="167">
        <f t="shared" si="5"/>
        <v>132.1</v>
      </c>
      <c r="K30" s="1">
        <f t="shared" si="6"/>
        <v>0</v>
      </c>
      <c r="L30" s="1">
        <f t="shared" si="7"/>
        <v>0</v>
      </c>
      <c r="M30" s="1"/>
      <c r="N30" s="1">
        <v>3.92</v>
      </c>
      <c r="O30" s="1"/>
      <c r="P30" s="166"/>
      <c r="Q30" s="172"/>
      <c r="R30" s="172"/>
      <c r="S30" s="166"/>
      <c r="Z30">
        <v>0</v>
      </c>
    </row>
    <row r="31" spans="1:26" ht="24.75" customHeight="1">
      <c r="A31" s="170">
        <v>18</v>
      </c>
      <c r="B31" s="167" t="s">
        <v>108</v>
      </c>
      <c r="C31" s="171" t="s">
        <v>117</v>
      </c>
      <c r="D31" s="167" t="s">
        <v>118</v>
      </c>
      <c r="E31" s="167" t="s">
        <v>119</v>
      </c>
      <c r="F31" s="168">
        <f>5*0.147</f>
        <v>0.735</v>
      </c>
      <c r="G31" s="169"/>
      <c r="H31" s="169"/>
      <c r="I31" s="169">
        <f t="shared" si="4"/>
        <v>0</v>
      </c>
      <c r="J31" s="167">
        <f t="shared" si="5"/>
        <v>924.03</v>
      </c>
      <c r="K31" s="1">
        <f t="shared" si="6"/>
        <v>0</v>
      </c>
      <c r="L31" s="1">
        <f t="shared" si="7"/>
        <v>0</v>
      </c>
      <c r="M31" s="1"/>
      <c r="N31" s="1">
        <v>1257.18</v>
      </c>
      <c r="O31" s="1"/>
      <c r="P31" s="166">
        <f>ROUND(F31*(R31),3)</f>
        <v>0.884</v>
      </c>
      <c r="Q31" s="172"/>
      <c r="R31" s="172">
        <v>1.202961408</v>
      </c>
      <c r="S31" s="166"/>
      <c r="Z31">
        <v>0</v>
      </c>
    </row>
    <row r="32" spans="1:26" ht="24.75" customHeight="1">
      <c r="A32" s="170">
        <v>19</v>
      </c>
      <c r="B32" s="167" t="s">
        <v>120</v>
      </c>
      <c r="C32" s="171" t="s">
        <v>121</v>
      </c>
      <c r="D32" s="167" t="s">
        <v>122</v>
      </c>
      <c r="E32" s="167" t="s">
        <v>123</v>
      </c>
      <c r="F32" s="168">
        <f>5*19.602</f>
        <v>98.01</v>
      </c>
      <c r="G32" s="169"/>
      <c r="H32" s="169"/>
      <c r="I32" s="169">
        <f t="shared" si="4"/>
        <v>0</v>
      </c>
      <c r="J32" s="167">
        <f t="shared" si="5"/>
        <v>109.77</v>
      </c>
      <c r="K32" s="1">
        <f t="shared" si="6"/>
        <v>0</v>
      </c>
      <c r="L32" s="1"/>
      <c r="M32" s="1">
        <f>ROUND(F32*(H32),2)</f>
        <v>0</v>
      </c>
      <c r="N32" s="1">
        <v>1.12</v>
      </c>
      <c r="O32" s="1"/>
      <c r="P32" s="166"/>
      <c r="Q32" s="172"/>
      <c r="R32" s="172"/>
      <c r="S32" s="166"/>
      <c r="Z32">
        <v>0</v>
      </c>
    </row>
    <row r="33" spans="1:26" ht="14.25">
      <c r="A33" s="155"/>
      <c r="B33" s="155"/>
      <c r="C33" s="155"/>
      <c r="D33" s="155" t="s">
        <v>68</v>
      </c>
      <c r="E33" s="155"/>
      <c r="F33" s="166"/>
      <c r="G33" s="158">
        <f>ROUND((SUM(L25:L32))/1,2)</f>
        <v>0</v>
      </c>
      <c r="H33" s="158">
        <f>ROUND((SUM(M25:M32))/1,2)</f>
        <v>0</v>
      </c>
      <c r="I33" s="158">
        <f>ROUND((SUM(I25:I32))/1,2)</f>
        <v>0</v>
      </c>
      <c r="J33" s="155"/>
      <c r="K33" s="155"/>
      <c r="L33" s="155">
        <f>ROUND((SUM(L25:L32))/1,2)</f>
        <v>0</v>
      </c>
      <c r="M33" s="155">
        <f>ROUND((SUM(M25:M32))/1,2)</f>
        <v>0</v>
      </c>
      <c r="N33" s="155"/>
      <c r="O33" s="155"/>
      <c r="P33" s="173">
        <f>ROUND((SUM(P25:P32))/1,2)</f>
        <v>98.79</v>
      </c>
      <c r="Q33" s="152"/>
      <c r="R33" s="152"/>
      <c r="S33" s="173">
        <f>ROUND((SUM(S25:S32))/1,2)</f>
        <v>0</v>
      </c>
      <c r="T33" s="152"/>
      <c r="U33" s="152"/>
      <c r="V33" s="152"/>
      <c r="W33" s="152"/>
      <c r="X33" s="152"/>
      <c r="Y33" s="152"/>
      <c r="Z33" s="152"/>
    </row>
    <row r="34" spans="1:19" ht="14.25">
      <c r="A34" s="1"/>
      <c r="B34" s="1"/>
      <c r="C34" s="1"/>
      <c r="D34" s="1"/>
      <c r="E34" s="1"/>
      <c r="F34" s="162"/>
      <c r="G34" s="148"/>
      <c r="H34" s="148"/>
      <c r="I34" s="148"/>
      <c r="J34" s="1"/>
      <c r="K34" s="1"/>
      <c r="L34" s="1"/>
      <c r="M34" s="1"/>
      <c r="N34" s="1"/>
      <c r="O34" s="1"/>
      <c r="P34" s="1"/>
      <c r="S34" s="1"/>
    </row>
    <row r="35" spans="1:26" ht="14.25">
      <c r="A35" s="155"/>
      <c r="B35" s="155"/>
      <c r="C35" s="155"/>
      <c r="D35" s="155" t="s">
        <v>69</v>
      </c>
      <c r="E35" s="155"/>
      <c r="F35" s="166"/>
      <c r="G35" s="156"/>
      <c r="H35" s="156"/>
      <c r="I35" s="156"/>
      <c r="J35" s="155"/>
      <c r="K35" s="155"/>
      <c r="L35" s="155"/>
      <c r="M35" s="155"/>
      <c r="N35" s="155"/>
      <c r="O35" s="155"/>
      <c r="P35" s="155"/>
      <c r="Q35" s="152"/>
      <c r="R35" s="152"/>
      <c r="S35" s="155"/>
      <c r="T35" s="152"/>
      <c r="U35" s="152"/>
      <c r="V35" s="152"/>
      <c r="W35" s="152"/>
      <c r="X35" s="152"/>
      <c r="Y35" s="152"/>
      <c r="Z35" s="152"/>
    </row>
    <row r="36" spans="1:26" ht="24.75" customHeight="1">
      <c r="A36" s="170">
        <v>20</v>
      </c>
      <c r="B36" s="167" t="s">
        <v>108</v>
      </c>
      <c r="C36" s="171" t="s">
        <v>198</v>
      </c>
      <c r="D36" s="167" t="s">
        <v>199</v>
      </c>
      <c r="E36" s="167" t="s">
        <v>91</v>
      </c>
      <c r="F36" s="168">
        <f>5*1.463</f>
        <v>7.315</v>
      </c>
      <c r="G36" s="169"/>
      <c r="H36" s="169"/>
      <c r="I36" s="169">
        <f>ROUND(F36*(G36+H36),2)</f>
        <v>0</v>
      </c>
      <c r="J36" s="167">
        <f>ROUND(F36*(N36),2)</f>
        <v>1067.62</v>
      </c>
      <c r="K36" s="1">
        <f>ROUND(F36*(O36),2)</f>
        <v>0</v>
      </c>
      <c r="L36" s="1">
        <f>ROUND(F36*(G36),2)</f>
        <v>0</v>
      </c>
      <c r="M36" s="1"/>
      <c r="N36" s="1">
        <v>145.95</v>
      </c>
      <c r="O36" s="1"/>
      <c r="P36" s="166">
        <f>ROUND(F36*(R36),3)</f>
        <v>14.312</v>
      </c>
      <c r="Q36" s="172"/>
      <c r="R36" s="172">
        <v>1.95649</v>
      </c>
      <c r="S36" s="166"/>
      <c r="Z36">
        <v>0</v>
      </c>
    </row>
    <row r="37" spans="1:26" ht="24.75" customHeight="1">
      <c r="A37" s="170">
        <v>21</v>
      </c>
      <c r="B37" s="167" t="s">
        <v>108</v>
      </c>
      <c r="C37" s="171" t="s">
        <v>200</v>
      </c>
      <c r="D37" s="167" t="s">
        <v>201</v>
      </c>
      <c r="E37" s="167" t="s">
        <v>119</v>
      </c>
      <c r="F37" s="168">
        <f>5*0.051205</f>
        <v>0.256025</v>
      </c>
      <c r="G37" s="169"/>
      <c r="H37" s="169"/>
      <c r="I37" s="169">
        <f>ROUND(F37*(G37+H37),2)</f>
        <v>0</v>
      </c>
      <c r="J37" s="167">
        <f>ROUND(F37*(N37),2)</f>
        <v>336.21</v>
      </c>
      <c r="K37" s="1">
        <f>ROUND(F37*(O37),2)</f>
        <v>0</v>
      </c>
      <c r="L37" s="1">
        <f>ROUND(F37*(G37),2)</f>
        <v>0</v>
      </c>
      <c r="M37" s="1"/>
      <c r="N37" s="1">
        <v>1313.18</v>
      </c>
      <c r="O37" s="1"/>
      <c r="P37" s="166">
        <f>ROUND(F37*(R37),3)</f>
        <v>0.26</v>
      </c>
      <c r="Q37" s="172"/>
      <c r="R37" s="172">
        <v>1.0156100000000001</v>
      </c>
      <c r="S37" s="166"/>
      <c r="Z37">
        <v>0</v>
      </c>
    </row>
    <row r="38" spans="1:26" ht="24.75" customHeight="1">
      <c r="A38" s="170">
        <v>22</v>
      </c>
      <c r="B38" s="167" t="s">
        <v>124</v>
      </c>
      <c r="C38" s="171" t="s">
        <v>202</v>
      </c>
      <c r="D38" s="167" t="s">
        <v>203</v>
      </c>
      <c r="E38" s="167" t="s">
        <v>127</v>
      </c>
      <c r="F38" s="168">
        <f>5*1</f>
        <v>5</v>
      </c>
      <c r="G38" s="169"/>
      <c r="H38" s="169"/>
      <c r="I38" s="169">
        <f>ROUND(F38*(G38+H38),2)</f>
        <v>0</v>
      </c>
      <c r="J38" s="167">
        <f>ROUND(F38*(N38),2)</f>
        <v>1300</v>
      </c>
      <c r="K38" s="1">
        <f>ROUND(F38*(O38),2)</f>
        <v>0</v>
      </c>
      <c r="L38" s="1">
        <f>ROUND(F38*(G38),2)</f>
        <v>0</v>
      </c>
      <c r="M38" s="1"/>
      <c r="N38" s="1">
        <v>260</v>
      </c>
      <c r="O38" s="1"/>
      <c r="P38" s="166">
        <f>ROUND(F38*(R38),3)</f>
        <v>0.293</v>
      </c>
      <c r="Q38" s="172"/>
      <c r="R38" s="172">
        <v>0.05854</v>
      </c>
      <c r="S38" s="166"/>
      <c r="Z38">
        <v>0</v>
      </c>
    </row>
    <row r="39" spans="1:26" ht="34.5" customHeight="1">
      <c r="A39" s="170">
        <v>23</v>
      </c>
      <c r="B39" s="167" t="s">
        <v>124</v>
      </c>
      <c r="C39" s="171" t="s">
        <v>125</v>
      </c>
      <c r="D39" s="167" t="s">
        <v>126</v>
      </c>
      <c r="E39" s="167" t="s">
        <v>127</v>
      </c>
      <c r="F39" s="168">
        <f>5*1</f>
        <v>5</v>
      </c>
      <c r="G39" s="169"/>
      <c r="H39" s="169"/>
      <c r="I39" s="169">
        <f>ROUND(F39*(G39+H39),2)</f>
        <v>0</v>
      </c>
      <c r="J39" s="167">
        <f>ROUND(F39*(N39),2)</f>
        <v>900</v>
      </c>
      <c r="K39" s="1">
        <f>ROUND(F39*(O39),2)</f>
        <v>0</v>
      </c>
      <c r="L39" s="1">
        <f>ROUND(F39*(G39),2)</f>
        <v>0</v>
      </c>
      <c r="M39" s="1"/>
      <c r="N39" s="1">
        <v>180</v>
      </c>
      <c r="O39" s="1"/>
      <c r="P39" s="166">
        <f>ROUND(F39*(R39),3)</f>
        <v>0.205</v>
      </c>
      <c r="Q39" s="172"/>
      <c r="R39" s="172">
        <v>0.04095</v>
      </c>
      <c r="S39" s="166"/>
      <c r="Z39">
        <v>0</v>
      </c>
    </row>
    <row r="40" spans="1:26" ht="49.5" customHeight="1">
      <c r="A40" s="170">
        <v>24</v>
      </c>
      <c r="B40" s="167" t="s">
        <v>128</v>
      </c>
      <c r="C40" s="171" t="s">
        <v>129</v>
      </c>
      <c r="D40" s="167" t="s">
        <v>130</v>
      </c>
      <c r="E40" s="167" t="s">
        <v>127</v>
      </c>
      <c r="F40" s="168">
        <f>5*1</f>
        <v>5</v>
      </c>
      <c r="G40" s="169"/>
      <c r="H40" s="169"/>
      <c r="I40" s="169">
        <f>ROUND(F40*(G40+H40),2)</f>
        <v>0</v>
      </c>
      <c r="J40" s="167">
        <f>ROUND(F40*(N40),2)</f>
        <v>20450</v>
      </c>
      <c r="K40" s="1">
        <f>ROUND(F40*(O40),2)</f>
        <v>0</v>
      </c>
      <c r="L40" s="1"/>
      <c r="M40" s="1">
        <f>ROUND(F40*(H40),2)</f>
        <v>0</v>
      </c>
      <c r="N40" s="1">
        <v>4090</v>
      </c>
      <c r="O40" s="1"/>
      <c r="P40" s="166">
        <f>ROUND(F40*(R40),3)</f>
        <v>22.44</v>
      </c>
      <c r="Q40" s="172"/>
      <c r="R40" s="172">
        <v>4.488</v>
      </c>
      <c r="S40" s="166"/>
      <c r="Z40">
        <v>0</v>
      </c>
    </row>
    <row r="41" spans="1:26" ht="14.25">
      <c r="A41" s="155"/>
      <c r="B41" s="155"/>
      <c r="C41" s="155"/>
      <c r="D41" s="155" t="s">
        <v>69</v>
      </c>
      <c r="E41" s="155"/>
      <c r="F41" s="166"/>
      <c r="G41" s="158">
        <f>ROUND((SUM(L35:L40))/1,2)</f>
        <v>0</v>
      </c>
      <c r="H41" s="158">
        <f>ROUND((SUM(M35:M40))/1,2)</f>
        <v>0</v>
      </c>
      <c r="I41" s="158">
        <f>ROUND((SUM(I35:I40))/1,2)</f>
        <v>0</v>
      </c>
      <c r="J41" s="155"/>
      <c r="K41" s="155"/>
      <c r="L41" s="155">
        <f>ROUND((SUM(L35:L40))/1,2)</f>
        <v>0</v>
      </c>
      <c r="M41" s="155">
        <f>ROUND((SUM(M35:M40))/1,2)</f>
        <v>0</v>
      </c>
      <c r="N41" s="155"/>
      <c r="O41" s="155"/>
      <c r="P41" s="173">
        <f>ROUND((SUM(P35:P40))/1,2)</f>
        <v>37.51</v>
      </c>
      <c r="Q41" s="152"/>
      <c r="R41" s="152"/>
      <c r="S41" s="173">
        <f>ROUND((SUM(S35:S40))/1,2)</f>
        <v>0</v>
      </c>
      <c r="T41" s="152"/>
      <c r="U41" s="152"/>
      <c r="V41" s="152"/>
      <c r="W41" s="152"/>
      <c r="X41" s="152"/>
      <c r="Y41" s="152"/>
      <c r="Z41" s="152"/>
    </row>
    <row r="42" spans="1:19" ht="14.25">
      <c r="A42" s="1"/>
      <c r="B42" s="1"/>
      <c r="C42" s="1"/>
      <c r="D42" s="1"/>
      <c r="E42" s="1"/>
      <c r="F42" s="162"/>
      <c r="G42" s="148"/>
      <c r="H42" s="148"/>
      <c r="I42" s="148"/>
      <c r="J42" s="1"/>
      <c r="K42" s="1"/>
      <c r="L42" s="1"/>
      <c r="M42" s="1"/>
      <c r="N42" s="1"/>
      <c r="O42" s="1"/>
      <c r="P42" s="1"/>
      <c r="S42" s="1"/>
    </row>
    <row r="43" spans="1:26" ht="14.25">
      <c r="A43" s="155"/>
      <c r="B43" s="155"/>
      <c r="C43" s="155"/>
      <c r="D43" s="155" t="s">
        <v>185</v>
      </c>
      <c r="E43" s="155"/>
      <c r="F43" s="166"/>
      <c r="G43" s="156"/>
      <c r="H43" s="156"/>
      <c r="I43" s="156"/>
      <c r="J43" s="155"/>
      <c r="K43" s="155"/>
      <c r="L43" s="155"/>
      <c r="M43" s="155"/>
      <c r="N43" s="155"/>
      <c r="O43" s="155"/>
      <c r="P43" s="155"/>
      <c r="Q43" s="152"/>
      <c r="R43" s="152"/>
      <c r="S43" s="155"/>
      <c r="T43" s="152"/>
      <c r="U43" s="152"/>
      <c r="V43" s="152"/>
      <c r="W43" s="152"/>
      <c r="X43" s="152"/>
      <c r="Y43" s="152"/>
      <c r="Z43" s="152"/>
    </row>
    <row r="44" spans="1:26" ht="34.5" customHeight="1">
      <c r="A44" s="170">
        <v>25</v>
      </c>
      <c r="B44" s="167" t="s">
        <v>108</v>
      </c>
      <c r="C44" s="171" t="s">
        <v>204</v>
      </c>
      <c r="D44" s="167" t="s">
        <v>205</v>
      </c>
      <c r="E44" s="167" t="s">
        <v>102</v>
      </c>
      <c r="F44" s="168">
        <f>5*6.75444</f>
        <v>33.7722</v>
      </c>
      <c r="G44" s="169"/>
      <c r="H44" s="169"/>
      <c r="I44" s="169">
        <f>ROUND(F44*(G44+H44),2)</f>
        <v>0</v>
      </c>
      <c r="J44" s="167">
        <f>ROUND(F44*(N44),2)</f>
        <v>1174.26</v>
      </c>
      <c r="K44" s="1">
        <f>ROUND(F44*(O44),2)</f>
        <v>0</v>
      </c>
      <c r="L44" s="1">
        <f>ROUND(F44*(G44),2)</f>
        <v>0</v>
      </c>
      <c r="M44" s="1"/>
      <c r="N44" s="1">
        <v>34.77</v>
      </c>
      <c r="O44" s="1"/>
      <c r="P44" s="166">
        <f>ROUND(F44*(R44),3)</f>
        <v>0.361</v>
      </c>
      <c r="Q44" s="172"/>
      <c r="R44" s="172">
        <v>0.0107</v>
      </c>
      <c r="S44" s="166"/>
      <c r="Z44">
        <v>0</v>
      </c>
    </row>
    <row r="45" spans="1:26" ht="24.75" customHeight="1">
      <c r="A45" s="170">
        <v>26</v>
      </c>
      <c r="B45" s="167" t="s">
        <v>108</v>
      </c>
      <c r="C45" s="171" t="s">
        <v>206</v>
      </c>
      <c r="D45" s="167" t="s">
        <v>207</v>
      </c>
      <c r="E45" s="167" t="s">
        <v>102</v>
      </c>
      <c r="F45" s="168">
        <f>5*2</f>
        <v>10</v>
      </c>
      <c r="G45" s="169"/>
      <c r="H45" s="169"/>
      <c r="I45" s="169">
        <f>ROUND(F45*(G45+H45),2)</f>
        <v>0</v>
      </c>
      <c r="J45" s="167">
        <f>ROUND(F45*(N45),2)</f>
        <v>124.5</v>
      </c>
      <c r="K45" s="1">
        <f>ROUND(F45*(O45),2)</f>
        <v>0</v>
      </c>
      <c r="L45" s="1">
        <f>ROUND(F45*(G45),2)</f>
        <v>0</v>
      </c>
      <c r="M45" s="1"/>
      <c r="N45" s="1">
        <v>12.45</v>
      </c>
      <c r="O45" s="1"/>
      <c r="P45" s="166">
        <f>ROUND(F45*(R45),3)</f>
        <v>1.085</v>
      </c>
      <c r="Q45" s="172"/>
      <c r="R45" s="172">
        <v>0.10854</v>
      </c>
      <c r="S45" s="166"/>
      <c r="Z45">
        <v>0</v>
      </c>
    </row>
    <row r="46" spans="1:26" ht="14.25">
      <c r="A46" s="155"/>
      <c r="B46" s="155"/>
      <c r="C46" s="155"/>
      <c r="D46" s="155" t="s">
        <v>185</v>
      </c>
      <c r="E46" s="155"/>
      <c r="F46" s="166"/>
      <c r="G46" s="158">
        <f>ROUND((SUM(L43:L45))/1,2)</f>
        <v>0</v>
      </c>
      <c r="H46" s="158">
        <f>ROUND((SUM(M43:M45))/1,2)</f>
        <v>0</v>
      </c>
      <c r="I46" s="158">
        <f>ROUND((SUM(I43:I45))/1,2)</f>
        <v>0</v>
      </c>
      <c r="J46" s="155"/>
      <c r="K46" s="155"/>
      <c r="L46" s="155">
        <f>ROUND((SUM(L43:L45))/1,2)</f>
        <v>0</v>
      </c>
      <c r="M46" s="155">
        <f>ROUND((SUM(M43:M45))/1,2)</f>
        <v>0</v>
      </c>
      <c r="N46" s="155"/>
      <c r="O46" s="155"/>
      <c r="P46" s="173">
        <f>ROUND((SUM(P43:P45))/1,2)</f>
        <v>1.45</v>
      </c>
      <c r="Q46" s="152"/>
      <c r="R46" s="152"/>
      <c r="S46" s="173">
        <f>ROUND((SUM(S43:S45))/1,2)</f>
        <v>0</v>
      </c>
      <c r="T46" s="152"/>
      <c r="U46" s="152"/>
      <c r="V46" s="152"/>
      <c r="W46" s="152"/>
      <c r="X46" s="152"/>
      <c r="Y46" s="152"/>
      <c r="Z46" s="152"/>
    </row>
    <row r="47" spans="1:19" ht="14.25">
      <c r="A47" s="1"/>
      <c r="B47" s="1"/>
      <c r="C47" s="1"/>
      <c r="D47" s="1"/>
      <c r="E47" s="1"/>
      <c r="F47" s="162"/>
      <c r="G47" s="148"/>
      <c r="H47" s="148"/>
      <c r="I47" s="148"/>
      <c r="J47" s="1"/>
      <c r="K47" s="1"/>
      <c r="L47" s="1"/>
      <c r="M47" s="1"/>
      <c r="N47" s="1"/>
      <c r="O47" s="1"/>
      <c r="P47" s="1"/>
      <c r="S47" s="1"/>
    </row>
    <row r="48" spans="1:26" ht="14.25">
      <c r="A48" s="155"/>
      <c r="B48" s="155"/>
      <c r="C48" s="155"/>
      <c r="D48" s="155" t="s">
        <v>70</v>
      </c>
      <c r="E48" s="155"/>
      <c r="F48" s="166"/>
      <c r="G48" s="156"/>
      <c r="H48" s="156"/>
      <c r="I48" s="156"/>
      <c r="J48" s="155"/>
      <c r="K48" s="155"/>
      <c r="L48" s="155"/>
      <c r="M48" s="155"/>
      <c r="N48" s="155"/>
      <c r="O48" s="155"/>
      <c r="P48" s="155"/>
      <c r="Q48" s="152"/>
      <c r="R48" s="152"/>
      <c r="S48" s="155"/>
      <c r="T48" s="152"/>
      <c r="U48" s="152"/>
      <c r="V48" s="152"/>
      <c r="W48" s="152"/>
      <c r="X48" s="152"/>
      <c r="Y48" s="152"/>
      <c r="Z48" s="152"/>
    </row>
    <row r="49" spans="1:26" ht="24.75" customHeight="1">
      <c r="A49" s="170">
        <v>27</v>
      </c>
      <c r="B49" s="167" t="s">
        <v>108</v>
      </c>
      <c r="C49" s="171" t="s">
        <v>131</v>
      </c>
      <c r="D49" s="167" t="s">
        <v>132</v>
      </c>
      <c r="E49" s="167" t="s">
        <v>102</v>
      </c>
      <c r="F49" s="168">
        <f>5*1.196</f>
        <v>5.9799999999999995</v>
      </c>
      <c r="G49" s="169"/>
      <c r="H49" s="169"/>
      <c r="I49" s="169">
        <f>ROUND(F49*(G49+H49),2)</f>
        <v>0</v>
      </c>
      <c r="J49" s="167">
        <f>ROUND(F49*(N49),2)</f>
        <v>52.56</v>
      </c>
      <c r="K49" s="1">
        <f>ROUND(F49*(O49),2)</f>
        <v>0</v>
      </c>
      <c r="L49" s="1">
        <f>ROUND(F49*(G49),2)</f>
        <v>0</v>
      </c>
      <c r="M49" s="1"/>
      <c r="N49" s="1">
        <v>8.79</v>
      </c>
      <c r="O49" s="1"/>
      <c r="P49" s="166">
        <f>ROUND(F49*(R49),3)</f>
        <v>0.004</v>
      </c>
      <c r="Q49" s="172"/>
      <c r="R49" s="172">
        <v>0.00063</v>
      </c>
      <c r="S49" s="166"/>
      <c r="Z49">
        <v>0</v>
      </c>
    </row>
    <row r="50" spans="1:26" ht="24.75" customHeight="1">
      <c r="A50" s="170">
        <v>28</v>
      </c>
      <c r="B50" s="167" t="s">
        <v>108</v>
      </c>
      <c r="C50" s="171" t="s">
        <v>133</v>
      </c>
      <c r="D50" s="167" t="s">
        <v>134</v>
      </c>
      <c r="E50" s="167" t="s">
        <v>102</v>
      </c>
      <c r="F50" s="168">
        <f>5*17.8</f>
        <v>89</v>
      </c>
      <c r="G50" s="169"/>
      <c r="H50" s="169"/>
      <c r="I50" s="169">
        <f>ROUND(F50*(G50+H50),2)</f>
        <v>0</v>
      </c>
      <c r="J50" s="167">
        <f>ROUND(F50*(N50),2)</f>
        <v>319.51</v>
      </c>
      <c r="K50" s="1">
        <f>ROUND(F50*(O50),2)</f>
        <v>0</v>
      </c>
      <c r="L50" s="1">
        <f>ROUND(F50*(G50),2)</f>
        <v>0</v>
      </c>
      <c r="M50" s="1"/>
      <c r="N50" s="1">
        <v>3.59</v>
      </c>
      <c r="O50" s="1"/>
      <c r="P50" s="166">
        <f>ROUND(F50*(R50),3)</f>
        <v>0.004</v>
      </c>
      <c r="Q50" s="172"/>
      <c r="R50" s="172">
        <v>5E-05</v>
      </c>
      <c r="S50" s="166"/>
      <c r="Z50">
        <v>0</v>
      </c>
    </row>
    <row r="51" spans="1:26" ht="14.25">
      <c r="A51" s="155"/>
      <c r="B51" s="155"/>
      <c r="C51" s="155"/>
      <c r="D51" s="155" t="s">
        <v>70</v>
      </c>
      <c r="E51" s="155"/>
      <c r="F51" s="166"/>
      <c r="G51" s="158">
        <f>ROUND((SUM(L48:L50))/1,2)</f>
        <v>0</v>
      </c>
      <c r="H51" s="158">
        <f>ROUND((SUM(M48:M50))/1,2)</f>
        <v>0</v>
      </c>
      <c r="I51" s="158">
        <f>ROUND((SUM(I48:I50))/1,2)</f>
        <v>0</v>
      </c>
      <c r="J51" s="155"/>
      <c r="K51" s="155"/>
      <c r="L51" s="155">
        <f>ROUND((SUM(L48:L50))/1,2)</f>
        <v>0</v>
      </c>
      <c r="M51" s="155">
        <f>ROUND((SUM(M48:M50))/1,2)</f>
        <v>0</v>
      </c>
      <c r="N51" s="155"/>
      <c r="O51" s="155"/>
      <c r="P51" s="173">
        <f>ROUND((SUM(P48:P50))/1,2)</f>
        <v>0.01</v>
      </c>
      <c r="Q51" s="152"/>
      <c r="R51" s="152"/>
      <c r="S51" s="173">
        <f>ROUND((SUM(S48:S50))/1,2)</f>
        <v>0</v>
      </c>
      <c r="T51" s="152"/>
      <c r="U51" s="152"/>
      <c r="V51" s="152"/>
      <c r="W51" s="152"/>
      <c r="X51" s="152"/>
      <c r="Y51" s="152"/>
      <c r="Z51" s="152"/>
    </row>
    <row r="52" spans="1:19" ht="14.25">
      <c r="A52" s="1"/>
      <c r="B52" s="1"/>
      <c r="C52" s="1"/>
      <c r="D52" s="1"/>
      <c r="E52" s="1"/>
      <c r="F52" s="162"/>
      <c r="G52" s="148"/>
      <c r="H52" s="148"/>
      <c r="I52" s="148"/>
      <c r="J52" s="1"/>
      <c r="K52" s="1"/>
      <c r="L52" s="1"/>
      <c r="M52" s="1"/>
      <c r="N52" s="1"/>
      <c r="O52" s="1"/>
      <c r="P52" s="1"/>
      <c r="S52" s="1"/>
    </row>
    <row r="53" spans="1:26" ht="14.25">
      <c r="A53" s="155"/>
      <c r="B53" s="155"/>
      <c r="C53" s="155"/>
      <c r="D53" s="155" t="s">
        <v>71</v>
      </c>
      <c r="E53" s="155"/>
      <c r="F53" s="166"/>
      <c r="G53" s="156"/>
      <c r="H53" s="156"/>
      <c r="I53" s="156"/>
      <c r="J53" s="155"/>
      <c r="K53" s="155"/>
      <c r="L53" s="155"/>
      <c r="M53" s="155"/>
      <c r="N53" s="155"/>
      <c r="O53" s="155"/>
      <c r="P53" s="155"/>
      <c r="Q53" s="152"/>
      <c r="R53" s="152"/>
      <c r="S53" s="155"/>
      <c r="T53" s="152"/>
      <c r="U53" s="152"/>
      <c r="V53" s="152"/>
      <c r="W53" s="152"/>
      <c r="X53" s="152"/>
      <c r="Y53" s="152"/>
      <c r="Z53" s="152"/>
    </row>
    <row r="54" spans="1:26" ht="24.75" customHeight="1">
      <c r="A54" s="170">
        <v>29</v>
      </c>
      <c r="B54" s="167" t="s">
        <v>108</v>
      </c>
      <c r="C54" s="171" t="s">
        <v>135</v>
      </c>
      <c r="D54" s="167" t="s">
        <v>136</v>
      </c>
      <c r="E54" s="167" t="s">
        <v>119</v>
      </c>
      <c r="F54" s="168">
        <f>5*42.856633111826</f>
        <v>214.28316555913</v>
      </c>
      <c r="G54" s="169"/>
      <c r="H54" s="169"/>
      <c r="I54" s="169">
        <f>ROUND(F54*(G54+H54),2)</f>
        <v>0</v>
      </c>
      <c r="J54" s="167">
        <f>ROUND(F54*(N54),2)</f>
        <v>3484.24</v>
      </c>
      <c r="K54" s="1">
        <f>ROUND(F54*(O54),2)</f>
        <v>0</v>
      </c>
      <c r="L54" s="1">
        <f>ROUND(F54*(G54),2)</f>
        <v>0</v>
      </c>
      <c r="M54" s="1"/>
      <c r="N54" s="1">
        <v>16.26</v>
      </c>
      <c r="O54" s="1"/>
      <c r="P54" s="166"/>
      <c r="Q54" s="172"/>
      <c r="R54" s="172"/>
      <c r="S54" s="166"/>
      <c r="Z54">
        <v>0</v>
      </c>
    </row>
    <row r="55" spans="1:26" ht="24.75" customHeight="1">
      <c r="A55" s="170">
        <v>30</v>
      </c>
      <c r="B55" s="167" t="s">
        <v>108</v>
      </c>
      <c r="C55" s="171" t="s">
        <v>137</v>
      </c>
      <c r="D55" s="167" t="s">
        <v>138</v>
      </c>
      <c r="E55" s="167" t="s">
        <v>119</v>
      </c>
      <c r="F55" s="168">
        <f>5*42.857</f>
        <v>214.285</v>
      </c>
      <c r="G55" s="169"/>
      <c r="H55" s="169"/>
      <c r="I55" s="169">
        <f>ROUND(F55*(G55+H55),2)</f>
        <v>0</v>
      </c>
      <c r="J55" s="167">
        <f>ROUND(F55*(N55),2)</f>
        <v>1577.14</v>
      </c>
      <c r="K55" s="1">
        <f>ROUND(F55*(O55),2)</f>
        <v>0</v>
      </c>
      <c r="L55" s="1">
        <f>ROUND(F55*(G55),2)</f>
        <v>0</v>
      </c>
      <c r="M55" s="1"/>
      <c r="N55" s="1">
        <v>7.36</v>
      </c>
      <c r="O55" s="1"/>
      <c r="P55" s="166"/>
      <c r="Q55" s="172"/>
      <c r="R55" s="172"/>
      <c r="S55" s="166"/>
      <c r="Z55">
        <v>0</v>
      </c>
    </row>
    <row r="56" spans="1:26" ht="14.25">
      <c r="A56" s="155"/>
      <c r="B56" s="155"/>
      <c r="C56" s="155"/>
      <c r="D56" s="155" t="s">
        <v>71</v>
      </c>
      <c r="E56" s="155"/>
      <c r="F56" s="166"/>
      <c r="G56" s="158">
        <f>ROUND((SUM(L53:L55))/1,2)</f>
        <v>0</v>
      </c>
      <c r="H56" s="158">
        <f>ROUND((SUM(M53:M55))/1,2)</f>
        <v>0</v>
      </c>
      <c r="I56" s="158">
        <f>ROUND((SUM(I53:I55))/1,2)</f>
        <v>0</v>
      </c>
      <c r="J56" s="155"/>
      <c r="K56" s="155"/>
      <c r="L56" s="155">
        <f>ROUND((SUM(L53:L55))/1,2)</f>
        <v>0</v>
      </c>
      <c r="M56" s="155">
        <f>ROUND((SUM(M53:M55))/1,2)</f>
        <v>0</v>
      </c>
      <c r="N56" s="155"/>
      <c r="O56" s="155"/>
      <c r="P56" s="173">
        <f>ROUND((SUM(P53:P55))/1,2)</f>
        <v>0</v>
      </c>
      <c r="Q56" s="152"/>
      <c r="R56" s="152"/>
      <c r="S56" s="173">
        <f>ROUND((SUM(S53:S55))/1,2)</f>
        <v>0</v>
      </c>
      <c r="T56" s="152"/>
      <c r="U56" s="152"/>
      <c r="V56" s="152"/>
      <c r="W56" s="152"/>
      <c r="X56" s="152"/>
      <c r="Y56" s="152"/>
      <c r="Z56" s="152"/>
    </row>
    <row r="57" spans="1:19" ht="14.25">
      <c r="A57" s="1"/>
      <c r="B57" s="1"/>
      <c r="C57" s="1"/>
      <c r="D57" s="1"/>
      <c r="E57" s="1"/>
      <c r="F57" s="162"/>
      <c r="G57" s="148"/>
      <c r="H57" s="148"/>
      <c r="I57" s="148"/>
      <c r="J57" s="1"/>
      <c r="K57" s="1"/>
      <c r="L57" s="1"/>
      <c r="M57" s="1"/>
      <c r="N57" s="1"/>
      <c r="O57" s="1"/>
      <c r="P57" s="1"/>
      <c r="S57" s="1"/>
    </row>
    <row r="58" spans="1:19" ht="14.25">
      <c r="A58" s="155"/>
      <c r="B58" s="155"/>
      <c r="C58" s="155"/>
      <c r="D58" s="2" t="s">
        <v>66</v>
      </c>
      <c r="E58" s="155"/>
      <c r="F58" s="166"/>
      <c r="G58" s="158">
        <f>ROUND((SUM(L9:L57))/2,2)</f>
        <v>0</v>
      </c>
      <c r="H58" s="158">
        <f>ROUND((SUM(M9:M57))/2,2)</f>
        <v>0</v>
      </c>
      <c r="I58" s="158">
        <f>ROUND((SUM(I9:I57))/2,2)</f>
        <v>0</v>
      </c>
      <c r="J58" s="156"/>
      <c r="K58" s="155"/>
      <c r="L58" s="156">
        <f>ROUND((SUM(L9:L57))/2,2)</f>
        <v>0</v>
      </c>
      <c r="M58" s="156">
        <f>ROUND((SUM(M9:M57))/2,2)</f>
        <v>0</v>
      </c>
      <c r="N58" s="155"/>
      <c r="O58" s="155"/>
      <c r="P58" s="173">
        <f>ROUND((SUM(P9:P57))/2,2)</f>
        <v>137.75</v>
      </c>
      <c r="S58" s="173">
        <f>ROUND((SUM(S9:S57))/2,2)</f>
        <v>0</v>
      </c>
    </row>
    <row r="59" spans="1:19" ht="14.25">
      <c r="A59" s="1"/>
      <c r="B59" s="1"/>
      <c r="C59" s="1"/>
      <c r="D59" s="1"/>
      <c r="E59" s="1"/>
      <c r="F59" s="162"/>
      <c r="G59" s="148"/>
      <c r="H59" s="148"/>
      <c r="I59" s="148"/>
      <c r="J59" s="1"/>
      <c r="K59" s="1"/>
      <c r="L59" s="1"/>
      <c r="M59" s="1"/>
      <c r="N59" s="1"/>
      <c r="O59" s="1"/>
      <c r="P59" s="1"/>
      <c r="S59" s="1"/>
    </row>
    <row r="60" spans="1:26" ht="14.25">
      <c r="A60" s="155"/>
      <c r="B60" s="155"/>
      <c r="C60" s="155"/>
      <c r="D60" s="2" t="s">
        <v>72</v>
      </c>
      <c r="E60" s="155"/>
      <c r="F60" s="166"/>
      <c r="G60" s="156"/>
      <c r="H60" s="156"/>
      <c r="I60" s="156"/>
      <c r="J60" s="155"/>
      <c r="K60" s="155"/>
      <c r="L60" s="155"/>
      <c r="M60" s="155"/>
      <c r="N60" s="155"/>
      <c r="O60" s="155"/>
      <c r="P60" s="155"/>
      <c r="Q60" s="152"/>
      <c r="R60" s="152"/>
      <c r="S60" s="155"/>
      <c r="T60" s="152"/>
      <c r="U60" s="152"/>
      <c r="V60" s="152"/>
      <c r="W60" s="152"/>
      <c r="X60" s="152"/>
      <c r="Y60" s="152"/>
      <c r="Z60" s="152"/>
    </row>
    <row r="61" spans="1:26" ht="14.25">
      <c r="A61" s="155"/>
      <c r="B61" s="155"/>
      <c r="C61" s="155"/>
      <c r="D61" s="155" t="s">
        <v>73</v>
      </c>
      <c r="E61" s="155"/>
      <c r="F61" s="166"/>
      <c r="G61" s="156"/>
      <c r="H61" s="156"/>
      <c r="I61" s="156"/>
      <c r="J61" s="155"/>
      <c r="K61" s="155"/>
      <c r="L61" s="155"/>
      <c r="M61" s="155"/>
      <c r="N61" s="155"/>
      <c r="O61" s="155"/>
      <c r="P61" s="155"/>
      <c r="Q61" s="152"/>
      <c r="R61" s="152"/>
      <c r="S61" s="155"/>
      <c r="T61" s="152"/>
      <c r="U61" s="152"/>
      <c r="V61" s="152"/>
      <c r="W61" s="152"/>
      <c r="X61" s="152"/>
      <c r="Y61" s="152"/>
      <c r="Z61" s="152"/>
    </row>
    <row r="62" spans="1:26" ht="24.75" customHeight="1">
      <c r="A62" s="170">
        <v>31</v>
      </c>
      <c r="B62" s="167" t="s">
        <v>139</v>
      </c>
      <c r="C62" s="171" t="s">
        <v>140</v>
      </c>
      <c r="D62" s="167" t="s">
        <v>141</v>
      </c>
      <c r="E62" s="167" t="s">
        <v>102</v>
      </c>
      <c r="F62" s="168">
        <f>5*20.14</f>
        <v>100.7</v>
      </c>
      <c r="G62" s="169"/>
      <c r="H62" s="169"/>
      <c r="I62" s="169">
        <f aca="true" t="shared" si="8" ref="I62:I69">ROUND(F62*(G62+H62),2)</f>
        <v>0</v>
      </c>
      <c r="J62" s="167">
        <f aca="true" t="shared" si="9" ref="J62:J69">ROUND(F62*(N62),2)</f>
        <v>18.13</v>
      </c>
      <c r="K62" s="1">
        <f aca="true" t="shared" si="10" ref="K62:K69">ROUND(F62*(O62),2)</f>
        <v>0</v>
      </c>
      <c r="L62" s="1">
        <f>ROUND(F62*(G62),2)</f>
        <v>0</v>
      </c>
      <c r="M62" s="1"/>
      <c r="N62" s="1">
        <v>0.18</v>
      </c>
      <c r="O62" s="1"/>
      <c r="P62" s="166"/>
      <c r="Q62" s="172"/>
      <c r="R62" s="172"/>
      <c r="S62" s="166"/>
      <c r="Z62">
        <v>0</v>
      </c>
    </row>
    <row r="63" spans="1:26" ht="24.75" customHeight="1">
      <c r="A63" s="170">
        <v>32</v>
      </c>
      <c r="B63" s="167" t="s">
        <v>139</v>
      </c>
      <c r="C63" s="171" t="s">
        <v>208</v>
      </c>
      <c r="D63" s="167" t="s">
        <v>209</v>
      </c>
      <c r="E63" s="167" t="s">
        <v>102</v>
      </c>
      <c r="F63" s="168">
        <f>5*6.9531</f>
        <v>34.7655</v>
      </c>
      <c r="G63" s="169"/>
      <c r="H63" s="169"/>
      <c r="I63" s="169">
        <f t="shared" si="8"/>
        <v>0</v>
      </c>
      <c r="J63" s="167">
        <f t="shared" si="9"/>
        <v>7.65</v>
      </c>
      <c r="K63" s="1">
        <f t="shared" si="10"/>
        <v>0</v>
      </c>
      <c r="L63" s="1">
        <f>ROUND(F63*(G63),2)</f>
        <v>0</v>
      </c>
      <c r="M63" s="1"/>
      <c r="N63" s="1">
        <v>0.22</v>
      </c>
      <c r="O63" s="1"/>
      <c r="P63" s="166"/>
      <c r="Q63" s="172"/>
      <c r="R63" s="172"/>
      <c r="S63" s="166"/>
      <c r="Z63">
        <v>0</v>
      </c>
    </row>
    <row r="64" spans="1:26" ht="24.75" customHeight="1">
      <c r="A64" s="170">
        <v>33</v>
      </c>
      <c r="B64" s="167" t="s">
        <v>139</v>
      </c>
      <c r="C64" s="171" t="s">
        <v>142</v>
      </c>
      <c r="D64" s="167" t="s">
        <v>143</v>
      </c>
      <c r="E64" s="167" t="s">
        <v>102</v>
      </c>
      <c r="F64" s="168">
        <f>5*20.14</f>
        <v>100.7</v>
      </c>
      <c r="G64" s="169"/>
      <c r="H64" s="169"/>
      <c r="I64" s="169">
        <f t="shared" si="8"/>
        <v>0</v>
      </c>
      <c r="J64" s="167">
        <f t="shared" si="9"/>
        <v>185.29</v>
      </c>
      <c r="K64" s="1">
        <f t="shared" si="10"/>
        <v>0</v>
      </c>
      <c r="L64" s="1">
        <f>ROUND(F64*(G64),2)</f>
        <v>0</v>
      </c>
      <c r="M64" s="1"/>
      <c r="N64" s="1">
        <v>1.8399999999999999</v>
      </c>
      <c r="O64" s="1"/>
      <c r="P64" s="166">
        <f>ROUND(F64*(R64),3)</f>
        <v>0.054</v>
      </c>
      <c r="Q64" s="172"/>
      <c r="R64" s="172">
        <v>0.00054</v>
      </c>
      <c r="S64" s="166"/>
      <c r="Z64">
        <v>0</v>
      </c>
    </row>
    <row r="65" spans="1:26" ht="24.75" customHeight="1">
      <c r="A65" s="170">
        <v>34</v>
      </c>
      <c r="B65" s="167" t="s">
        <v>139</v>
      </c>
      <c r="C65" s="171" t="s">
        <v>210</v>
      </c>
      <c r="D65" s="167" t="s">
        <v>211</v>
      </c>
      <c r="E65" s="167" t="s">
        <v>102</v>
      </c>
      <c r="F65" s="168">
        <f>5*6.953</f>
        <v>34.765</v>
      </c>
      <c r="G65" s="169"/>
      <c r="H65" s="169"/>
      <c r="I65" s="169">
        <f t="shared" si="8"/>
        <v>0</v>
      </c>
      <c r="J65" s="167">
        <f t="shared" si="9"/>
        <v>85.17</v>
      </c>
      <c r="K65" s="1">
        <f t="shared" si="10"/>
        <v>0</v>
      </c>
      <c r="L65" s="1">
        <f>ROUND(F65*(G65),2)</f>
        <v>0</v>
      </c>
      <c r="M65" s="1"/>
      <c r="N65" s="1">
        <v>2.45</v>
      </c>
      <c r="O65" s="1"/>
      <c r="P65" s="166">
        <f>ROUND(F65*(R65),3)</f>
        <v>0.019</v>
      </c>
      <c r="Q65" s="172"/>
      <c r="R65" s="172">
        <v>0.00054</v>
      </c>
      <c r="S65" s="166"/>
      <c r="Z65">
        <v>0</v>
      </c>
    </row>
    <row r="66" spans="1:26" ht="24.75" customHeight="1">
      <c r="A66" s="170">
        <v>35</v>
      </c>
      <c r="B66" s="167" t="s">
        <v>139</v>
      </c>
      <c r="C66" s="171" t="s">
        <v>144</v>
      </c>
      <c r="D66" s="167" t="s">
        <v>145</v>
      </c>
      <c r="E66" s="167" t="s">
        <v>146</v>
      </c>
      <c r="F66" s="168">
        <f>5*157.3946152</f>
        <v>786.973076</v>
      </c>
      <c r="G66" s="174"/>
      <c r="H66" s="174"/>
      <c r="I66" s="174">
        <f t="shared" si="8"/>
        <v>0</v>
      </c>
      <c r="J66" s="167">
        <f t="shared" si="9"/>
        <v>22.82</v>
      </c>
      <c r="K66" s="1">
        <f t="shared" si="10"/>
        <v>0</v>
      </c>
      <c r="L66" s="1">
        <f>ROUND(F66*(G66),2)</f>
        <v>0</v>
      </c>
      <c r="M66" s="1"/>
      <c r="N66" s="1">
        <v>0.029</v>
      </c>
      <c r="O66" s="1"/>
      <c r="P66" s="166"/>
      <c r="Q66" s="172"/>
      <c r="R66" s="172"/>
      <c r="S66" s="166"/>
      <c r="Z66">
        <v>0</v>
      </c>
    </row>
    <row r="67" spans="1:26" ht="24.75" customHeight="1">
      <c r="A67" s="170">
        <v>36</v>
      </c>
      <c r="B67" s="167" t="s">
        <v>147</v>
      </c>
      <c r="C67" s="171" t="s">
        <v>148</v>
      </c>
      <c r="D67" s="167" t="s">
        <v>149</v>
      </c>
      <c r="E67" s="167" t="s">
        <v>150</v>
      </c>
      <c r="F67" s="168">
        <f>5*30.34416</f>
        <v>151.7208</v>
      </c>
      <c r="G67" s="169"/>
      <c r="H67" s="169"/>
      <c r="I67" s="169">
        <f t="shared" si="8"/>
        <v>0</v>
      </c>
      <c r="J67" s="167">
        <f t="shared" si="9"/>
        <v>382.34</v>
      </c>
      <c r="K67" s="1">
        <f t="shared" si="10"/>
        <v>0</v>
      </c>
      <c r="L67" s="1"/>
      <c r="M67" s="1">
        <f>ROUND(F67*(H67),2)</f>
        <v>0</v>
      </c>
      <c r="N67" s="1">
        <v>2.52</v>
      </c>
      <c r="O67" s="1"/>
      <c r="P67" s="166">
        <f>ROUND(F67*(R67),3)</f>
        <v>0.589</v>
      </c>
      <c r="Q67" s="172"/>
      <c r="R67" s="172">
        <v>0.00388</v>
      </c>
      <c r="S67" s="166"/>
      <c r="Z67">
        <v>0</v>
      </c>
    </row>
    <row r="68" spans="1:26" ht="24.75" customHeight="1">
      <c r="A68" s="170">
        <v>37</v>
      </c>
      <c r="B68" s="167" t="s">
        <v>147</v>
      </c>
      <c r="C68" s="171" t="s">
        <v>151</v>
      </c>
      <c r="D68" s="167" t="s">
        <v>152</v>
      </c>
      <c r="E68" s="167" t="s">
        <v>153</v>
      </c>
      <c r="F68" s="168">
        <f>5*2</f>
        <v>10</v>
      </c>
      <c r="G68" s="169"/>
      <c r="H68" s="169"/>
      <c r="I68" s="169">
        <f t="shared" si="8"/>
        <v>0</v>
      </c>
      <c r="J68" s="167">
        <f t="shared" si="9"/>
        <v>86.1</v>
      </c>
      <c r="K68" s="1">
        <f t="shared" si="10"/>
        <v>0</v>
      </c>
      <c r="L68" s="1"/>
      <c r="M68" s="1">
        <f>ROUND(F68*(H68),2)</f>
        <v>0</v>
      </c>
      <c r="N68" s="1">
        <v>8.61</v>
      </c>
      <c r="O68" s="1"/>
      <c r="P68" s="166"/>
      <c r="Q68" s="172"/>
      <c r="R68" s="172"/>
      <c r="S68" s="166"/>
      <c r="Z68">
        <v>0</v>
      </c>
    </row>
    <row r="69" spans="1:26" ht="24.75" customHeight="1">
      <c r="A69" s="170">
        <v>38</v>
      </c>
      <c r="B69" s="167" t="s">
        <v>154</v>
      </c>
      <c r="C69" s="171" t="s">
        <v>155</v>
      </c>
      <c r="D69" s="167" t="s">
        <v>156</v>
      </c>
      <c r="E69" s="167" t="s">
        <v>157</v>
      </c>
      <c r="F69" s="168">
        <f>5*2</f>
        <v>10</v>
      </c>
      <c r="G69" s="169"/>
      <c r="H69" s="169"/>
      <c r="I69" s="169">
        <f t="shared" si="8"/>
        <v>0</v>
      </c>
      <c r="J69" s="167">
        <f t="shared" si="9"/>
        <v>22.3</v>
      </c>
      <c r="K69" s="1">
        <f t="shared" si="10"/>
        <v>0</v>
      </c>
      <c r="L69" s="1"/>
      <c r="M69" s="1">
        <f>ROUND(F69*(H69),2)</f>
        <v>0</v>
      </c>
      <c r="N69" s="1">
        <v>2.23</v>
      </c>
      <c r="O69" s="1"/>
      <c r="P69" s="166">
        <f>ROUND(F69*(R69),3)</f>
        <v>0.01</v>
      </c>
      <c r="Q69" s="172"/>
      <c r="R69" s="172">
        <v>0.001</v>
      </c>
      <c r="S69" s="166"/>
      <c r="Z69">
        <v>0</v>
      </c>
    </row>
    <row r="70" spans="1:26" ht="14.25">
      <c r="A70" s="155"/>
      <c r="B70" s="155"/>
      <c r="C70" s="155"/>
      <c r="D70" s="155" t="s">
        <v>73</v>
      </c>
      <c r="E70" s="155"/>
      <c r="F70" s="166"/>
      <c r="G70" s="158">
        <f>ROUND((SUM(L61:L69))/1,2)</f>
        <v>0</v>
      </c>
      <c r="H70" s="158">
        <f>ROUND((SUM(M61:M69))/1,2)</f>
        <v>0</v>
      </c>
      <c r="I70" s="158">
        <f>ROUND((SUM(I61:I69))/1,2)</f>
        <v>0</v>
      </c>
      <c r="J70" s="155"/>
      <c r="K70" s="155"/>
      <c r="L70" s="155">
        <f>ROUND((SUM(L61:L69))/1,2)</f>
        <v>0</v>
      </c>
      <c r="M70" s="155">
        <f>ROUND((SUM(M61:M69))/1,2)</f>
        <v>0</v>
      </c>
      <c r="N70" s="155"/>
      <c r="O70" s="155"/>
      <c r="P70" s="173">
        <f>ROUND((SUM(P61:P69))/1,2)</f>
        <v>0.67</v>
      </c>
      <c r="Q70" s="152"/>
      <c r="R70" s="152"/>
      <c r="S70" s="173">
        <f>ROUND((SUM(S61:S69))/1,2)</f>
        <v>0</v>
      </c>
      <c r="T70" s="152"/>
      <c r="U70" s="152"/>
      <c r="V70" s="152"/>
      <c r="W70" s="152"/>
      <c r="X70" s="152"/>
      <c r="Y70" s="152"/>
      <c r="Z70" s="152"/>
    </row>
    <row r="71" spans="1:19" ht="14.25">
      <c r="A71" s="1"/>
      <c r="B71" s="1"/>
      <c r="C71" s="1"/>
      <c r="D71" s="1"/>
      <c r="E71" s="1"/>
      <c r="F71" s="162"/>
      <c r="G71" s="148"/>
      <c r="H71" s="148"/>
      <c r="I71" s="148"/>
      <c r="J71" s="1"/>
      <c r="K71" s="1"/>
      <c r="L71" s="1"/>
      <c r="M71" s="1"/>
      <c r="N71" s="1"/>
      <c r="O71" s="1"/>
      <c r="P71" s="1"/>
      <c r="S71" s="1"/>
    </row>
    <row r="72" spans="1:26" ht="14.25">
      <c r="A72" s="155"/>
      <c r="B72" s="155"/>
      <c r="C72" s="155"/>
      <c r="D72" s="155" t="s">
        <v>186</v>
      </c>
      <c r="E72" s="155"/>
      <c r="F72" s="166"/>
      <c r="G72" s="156"/>
      <c r="H72" s="156"/>
      <c r="I72" s="156"/>
      <c r="J72" s="155"/>
      <c r="K72" s="155"/>
      <c r="L72" s="155"/>
      <c r="M72" s="155"/>
      <c r="N72" s="155"/>
      <c r="O72" s="155"/>
      <c r="P72" s="155"/>
      <c r="Q72" s="152"/>
      <c r="R72" s="152"/>
      <c r="S72" s="155"/>
      <c r="T72" s="152"/>
      <c r="U72" s="152"/>
      <c r="V72" s="152"/>
      <c r="W72" s="152"/>
      <c r="X72" s="152"/>
      <c r="Y72" s="152"/>
      <c r="Z72" s="152"/>
    </row>
    <row r="73" spans="1:26" ht="24.75" customHeight="1">
      <c r="A73" s="170">
        <v>39</v>
      </c>
      <c r="B73" s="167" t="s">
        <v>212</v>
      </c>
      <c r="C73" s="171" t="s">
        <v>213</v>
      </c>
      <c r="D73" s="167" t="s">
        <v>214</v>
      </c>
      <c r="E73" s="167" t="s">
        <v>215</v>
      </c>
      <c r="F73" s="168">
        <f>5*1</f>
        <v>5</v>
      </c>
      <c r="G73" s="169"/>
      <c r="H73" s="169"/>
      <c r="I73" s="169">
        <f>ROUND(F73*(G73+H73),2)</f>
        <v>0</v>
      </c>
      <c r="J73" s="167">
        <f>ROUND(F73*(N73),2)</f>
        <v>750</v>
      </c>
      <c r="K73" s="1">
        <f>ROUND(F73*(O73),2)</f>
        <v>0</v>
      </c>
      <c r="L73" s="1">
        <f>ROUND(F73*(G73),2)</f>
        <v>0</v>
      </c>
      <c r="M73" s="1"/>
      <c r="N73" s="1">
        <v>150</v>
      </c>
      <c r="O73" s="1"/>
      <c r="P73" s="166">
        <f>ROUND(F73*(R73),3)</f>
        <v>0.045</v>
      </c>
      <c r="Q73" s="172"/>
      <c r="R73" s="172">
        <v>0.009</v>
      </c>
      <c r="S73" s="166"/>
      <c r="Z73">
        <v>0</v>
      </c>
    </row>
    <row r="74" spans="1:26" ht="14.25">
      <c r="A74" s="155"/>
      <c r="B74" s="155"/>
      <c r="C74" s="155"/>
      <c r="D74" s="155" t="s">
        <v>186</v>
      </c>
      <c r="E74" s="155"/>
      <c r="F74" s="166"/>
      <c r="G74" s="158">
        <f>ROUND((SUM(L72:L73))/1,2)</f>
        <v>0</v>
      </c>
      <c r="H74" s="158">
        <f>ROUND((SUM(M72:M73))/1,2)</f>
        <v>0</v>
      </c>
      <c r="I74" s="158">
        <f>ROUND((SUM(I72:I73))/1,2)</f>
        <v>0</v>
      </c>
      <c r="J74" s="155"/>
      <c r="K74" s="155"/>
      <c r="L74" s="155">
        <f>ROUND((SUM(L72:L73))/1,2)</f>
        <v>0</v>
      </c>
      <c r="M74" s="155">
        <f>ROUND((SUM(M72:M73))/1,2)</f>
        <v>0</v>
      </c>
      <c r="N74" s="155"/>
      <c r="O74" s="155"/>
      <c r="P74" s="173">
        <f>ROUND((SUM(P72:P73))/1,2)</f>
        <v>0.05</v>
      </c>
      <c r="Q74" s="152"/>
      <c r="R74" s="152"/>
      <c r="S74" s="173">
        <f>ROUND((SUM(S72:S73))/1,2)</f>
        <v>0</v>
      </c>
      <c r="T74" s="152"/>
      <c r="U74" s="152"/>
      <c r="V74" s="152"/>
      <c r="W74" s="152"/>
      <c r="X74" s="152"/>
      <c r="Y74" s="152"/>
      <c r="Z74" s="152"/>
    </row>
    <row r="75" spans="1:19" ht="14.25">
      <c r="A75" s="1"/>
      <c r="B75" s="1"/>
      <c r="C75" s="1"/>
      <c r="D75" s="1"/>
      <c r="E75" s="1"/>
      <c r="F75" s="162"/>
      <c r="G75" s="148"/>
      <c r="H75" s="148"/>
      <c r="I75" s="148"/>
      <c r="J75" s="1"/>
      <c r="K75" s="1"/>
      <c r="L75" s="1"/>
      <c r="M75" s="1"/>
      <c r="N75" s="1"/>
      <c r="O75" s="1"/>
      <c r="P75" s="1"/>
      <c r="S75" s="1"/>
    </row>
    <row r="76" spans="1:26" ht="14.25">
      <c r="A76" s="155"/>
      <c r="B76" s="155"/>
      <c r="C76" s="155"/>
      <c r="D76" s="155" t="s">
        <v>74</v>
      </c>
      <c r="E76" s="155"/>
      <c r="F76" s="166"/>
      <c r="G76" s="156"/>
      <c r="H76" s="156"/>
      <c r="I76" s="156"/>
      <c r="J76" s="155"/>
      <c r="K76" s="155"/>
      <c r="L76" s="155"/>
      <c r="M76" s="155"/>
      <c r="N76" s="155"/>
      <c r="O76" s="155"/>
      <c r="P76" s="155"/>
      <c r="Q76" s="152"/>
      <c r="R76" s="152"/>
      <c r="S76" s="155"/>
      <c r="T76" s="152"/>
      <c r="U76" s="152"/>
      <c r="V76" s="152"/>
      <c r="W76" s="152"/>
      <c r="X76" s="152"/>
      <c r="Y76" s="152"/>
      <c r="Z76" s="152"/>
    </row>
    <row r="77" spans="1:26" ht="24.75" customHeight="1">
      <c r="A77" s="170">
        <v>40</v>
      </c>
      <c r="B77" s="167" t="s">
        <v>158</v>
      </c>
      <c r="C77" s="171" t="s">
        <v>159</v>
      </c>
      <c r="D77" s="167" t="s">
        <v>160</v>
      </c>
      <c r="E77" s="167" t="s">
        <v>161</v>
      </c>
      <c r="F77" s="168">
        <f>5*2.4</f>
        <v>12</v>
      </c>
      <c r="G77" s="169"/>
      <c r="H77" s="169"/>
      <c r="I77" s="169">
        <f>ROUND(F77*(G77+H77),2)</f>
        <v>0</v>
      </c>
      <c r="J77" s="167">
        <f>ROUND(F77*(N77),2)</f>
        <v>152.64</v>
      </c>
      <c r="K77" s="1">
        <f>ROUND(F77*(O77),2)</f>
        <v>0</v>
      </c>
      <c r="L77" s="1">
        <f>ROUND(F77*(G77),2)</f>
        <v>0</v>
      </c>
      <c r="M77" s="1"/>
      <c r="N77" s="1">
        <v>12.72</v>
      </c>
      <c r="O77" s="1"/>
      <c r="P77" s="166">
        <f>ROUND(F77*(R77),3)</f>
        <v>0.033</v>
      </c>
      <c r="Q77" s="172"/>
      <c r="R77" s="172">
        <v>0.00273</v>
      </c>
      <c r="S77" s="166"/>
      <c r="Z77">
        <v>0</v>
      </c>
    </row>
    <row r="78" spans="1:26" ht="24.75" customHeight="1">
      <c r="A78" s="170">
        <v>41</v>
      </c>
      <c r="B78" s="167" t="s">
        <v>162</v>
      </c>
      <c r="C78" s="171" t="s">
        <v>163</v>
      </c>
      <c r="D78" s="167" t="s">
        <v>164</v>
      </c>
      <c r="E78" s="167" t="s">
        <v>146</v>
      </c>
      <c r="F78" s="168">
        <f>5*30.528</f>
        <v>152.64</v>
      </c>
      <c r="G78" s="174"/>
      <c r="H78" s="174"/>
      <c r="I78" s="174">
        <f>ROUND(F78*(G78+H78),2)</f>
        <v>0</v>
      </c>
      <c r="J78" s="167">
        <f>ROUND(F78*(N78),2)</f>
        <v>3.21</v>
      </c>
      <c r="K78" s="1">
        <f>ROUND(F78*(O78),2)</f>
        <v>0</v>
      </c>
      <c r="L78" s="1">
        <f>ROUND(F78*(G78),2)</f>
        <v>0</v>
      </c>
      <c r="M78" s="1"/>
      <c r="N78" s="1">
        <v>0.021</v>
      </c>
      <c r="O78" s="1"/>
      <c r="P78" s="166"/>
      <c r="Q78" s="172"/>
      <c r="R78" s="172"/>
      <c r="S78" s="166"/>
      <c r="Z78">
        <v>0</v>
      </c>
    </row>
    <row r="79" spans="1:26" ht="14.25">
      <c r="A79" s="155"/>
      <c r="B79" s="155"/>
      <c r="C79" s="155"/>
      <c r="D79" s="155" t="s">
        <v>74</v>
      </c>
      <c r="E79" s="155"/>
      <c r="F79" s="166"/>
      <c r="G79" s="158">
        <f>ROUND((SUM(L76:L78))/1,2)</f>
        <v>0</v>
      </c>
      <c r="H79" s="158">
        <f>ROUND((SUM(M76:M78))/1,2)</f>
        <v>0</v>
      </c>
      <c r="I79" s="158">
        <f>ROUND((SUM(I76:I78))/1,2)</f>
        <v>0</v>
      </c>
      <c r="J79" s="155"/>
      <c r="K79" s="155"/>
      <c r="L79" s="155">
        <f>ROUND((SUM(L76:L78))/1,2)</f>
        <v>0</v>
      </c>
      <c r="M79" s="155">
        <f>ROUND((SUM(M76:M78))/1,2)</f>
        <v>0</v>
      </c>
      <c r="N79" s="155"/>
      <c r="O79" s="155"/>
      <c r="P79" s="173">
        <f>ROUND((SUM(P76:P78))/1,2)</f>
        <v>0.03</v>
      </c>
      <c r="Q79" s="152"/>
      <c r="R79" s="152"/>
      <c r="S79" s="173">
        <f>ROUND((SUM(S76:S78))/1,2)</f>
        <v>0</v>
      </c>
      <c r="T79" s="152"/>
      <c r="U79" s="152"/>
      <c r="V79" s="152"/>
      <c r="W79" s="152"/>
      <c r="X79" s="152"/>
      <c r="Y79" s="152"/>
      <c r="Z79" s="152"/>
    </row>
    <row r="80" spans="1:19" ht="14.25">
      <c r="A80" s="1"/>
      <c r="B80" s="1"/>
      <c r="C80" s="1"/>
      <c r="D80" s="1"/>
      <c r="E80" s="1"/>
      <c r="F80" s="162"/>
      <c r="G80" s="148"/>
      <c r="H80" s="148"/>
      <c r="I80" s="148"/>
      <c r="J80" s="1"/>
      <c r="K80" s="1"/>
      <c r="L80" s="1"/>
      <c r="M80" s="1"/>
      <c r="N80" s="1"/>
      <c r="O80" s="1"/>
      <c r="P80" s="1"/>
      <c r="S80" s="1"/>
    </row>
    <row r="81" spans="1:26" ht="14.25">
      <c r="A81" s="155"/>
      <c r="B81" s="155"/>
      <c r="C81" s="155"/>
      <c r="D81" s="155" t="s">
        <v>187</v>
      </c>
      <c r="E81" s="155"/>
      <c r="F81" s="166"/>
      <c r="G81" s="156"/>
      <c r="H81" s="156"/>
      <c r="I81" s="156"/>
      <c r="J81" s="155"/>
      <c r="K81" s="155"/>
      <c r="L81" s="155"/>
      <c r="M81" s="155"/>
      <c r="N81" s="155"/>
      <c r="O81" s="155"/>
      <c r="P81" s="155"/>
      <c r="Q81" s="152"/>
      <c r="R81" s="152"/>
      <c r="S81" s="155"/>
      <c r="T81" s="152"/>
      <c r="U81" s="152"/>
      <c r="V81" s="152"/>
      <c r="W81" s="152"/>
      <c r="X81" s="152"/>
      <c r="Y81" s="152"/>
      <c r="Z81" s="152"/>
    </row>
    <row r="82" spans="1:26" ht="24.75" customHeight="1">
      <c r="A82" s="170">
        <v>42</v>
      </c>
      <c r="B82" s="167" t="s">
        <v>216</v>
      </c>
      <c r="C82" s="171" t="s">
        <v>217</v>
      </c>
      <c r="D82" s="167" t="s">
        <v>218</v>
      </c>
      <c r="E82" s="167" t="s">
        <v>102</v>
      </c>
      <c r="F82" s="168">
        <f>5*2.48</f>
        <v>12.4</v>
      </c>
      <c r="G82" s="169"/>
      <c r="H82" s="169"/>
      <c r="I82" s="169">
        <f>ROUND(F82*(G82+H82),2)</f>
        <v>0</v>
      </c>
      <c r="J82" s="167">
        <f>ROUND(F82*(N82),2)</f>
        <v>503.44</v>
      </c>
      <c r="K82" s="1">
        <f>ROUND(F82*(O82),2)</f>
        <v>0</v>
      </c>
      <c r="L82" s="1">
        <f>ROUND(F82*(G82),2)</f>
        <v>0</v>
      </c>
      <c r="M82" s="1"/>
      <c r="N82" s="1">
        <v>40.6</v>
      </c>
      <c r="O82" s="1"/>
      <c r="P82" s="166">
        <f>ROUND(F82*(R82),3)</f>
        <v>0</v>
      </c>
      <c r="Q82" s="172"/>
      <c r="R82" s="172">
        <v>3E-05</v>
      </c>
      <c r="S82" s="166"/>
      <c r="Z82">
        <v>0</v>
      </c>
    </row>
    <row r="83" spans="1:26" ht="24.75" customHeight="1">
      <c r="A83" s="170">
        <v>43</v>
      </c>
      <c r="B83" s="167" t="s">
        <v>216</v>
      </c>
      <c r="C83" s="171" t="s">
        <v>219</v>
      </c>
      <c r="D83" s="167" t="s">
        <v>220</v>
      </c>
      <c r="E83" s="167" t="s">
        <v>146</v>
      </c>
      <c r="F83" s="168">
        <f>5*100.688</f>
        <v>503.44</v>
      </c>
      <c r="G83" s="174"/>
      <c r="H83" s="174"/>
      <c r="I83" s="174">
        <f>ROUND(F83*(G83+H83),2)</f>
        <v>0</v>
      </c>
      <c r="J83" s="167">
        <f>ROUND(F83*(N83),2)</f>
        <v>3.02</v>
      </c>
      <c r="K83" s="1">
        <f>ROUND(F83*(O83),2)</f>
        <v>0</v>
      </c>
      <c r="L83" s="1">
        <f>ROUND(F83*(G83),2)</f>
        <v>0</v>
      </c>
      <c r="M83" s="1"/>
      <c r="N83" s="1">
        <v>0.006</v>
      </c>
      <c r="O83" s="1"/>
      <c r="P83" s="166"/>
      <c r="Q83" s="172"/>
      <c r="R83" s="172"/>
      <c r="S83" s="166"/>
      <c r="Z83">
        <v>0</v>
      </c>
    </row>
    <row r="84" spans="1:26" ht="14.25">
      <c r="A84" s="155"/>
      <c r="B84" s="155"/>
      <c r="C84" s="155"/>
      <c r="D84" s="155" t="s">
        <v>187</v>
      </c>
      <c r="E84" s="155"/>
      <c r="F84" s="166"/>
      <c r="G84" s="158">
        <f>ROUND((SUM(L81:L83))/1,2)</f>
        <v>0</v>
      </c>
      <c r="H84" s="158">
        <f>ROUND((SUM(M81:M83))/1,2)</f>
        <v>0</v>
      </c>
      <c r="I84" s="158">
        <f>ROUND((SUM(I81:I83))/1,2)</f>
        <v>0</v>
      </c>
      <c r="J84" s="155"/>
      <c r="K84" s="155"/>
      <c r="L84" s="155">
        <f>ROUND((SUM(L81:L83))/1,2)</f>
        <v>0</v>
      </c>
      <c r="M84" s="155">
        <f>ROUND((SUM(M81:M83))/1,2)</f>
        <v>0</v>
      </c>
      <c r="N84" s="155"/>
      <c r="O84" s="155"/>
      <c r="P84" s="173">
        <f>ROUND((SUM(P81:P83))/1,2)</f>
        <v>0</v>
      </c>
      <c r="Q84" s="152"/>
      <c r="R84" s="152"/>
      <c r="S84" s="173">
        <f>ROUND((SUM(S81:S83))/1,2)</f>
        <v>0</v>
      </c>
      <c r="T84" s="152"/>
      <c r="U84" s="152"/>
      <c r="V84" s="152"/>
      <c r="W84" s="152"/>
      <c r="X84" s="152"/>
      <c r="Y84" s="152"/>
      <c r="Z84" s="152"/>
    </row>
    <row r="85" spans="1:19" ht="14.25">
      <c r="A85" s="1"/>
      <c r="B85" s="1"/>
      <c r="C85" s="1"/>
      <c r="D85" s="1"/>
      <c r="E85" s="1"/>
      <c r="F85" s="162"/>
      <c r="G85" s="148"/>
      <c r="H85" s="148"/>
      <c r="I85" s="148"/>
      <c r="J85" s="1"/>
      <c r="K85" s="1"/>
      <c r="L85" s="1"/>
      <c r="M85" s="1"/>
      <c r="N85" s="1"/>
      <c r="O85" s="1"/>
      <c r="P85" s="1"/>
      <c r="S85" s="1"/>
    </row>
    <row r="86" spans="1:26" ht="14.25">
      <c r="A86" s="155"/>
      <c r="B86" s="155"/>
      <c r="C86" s="155"/>
      <c r="D86" s="155" t="s">
        <v>75</v>
      </c>
      <c r="E86" s="155"/>
      <c r="F86" s="166"/>
      <c r="G86" s="156"/>
      <c r="H86" s="156"/>
      <c r="I86" s="156"/>
      <c r="J86" s="155"/>
      <c r="K86" s="155"/>
      <c r="L86" s="155"/>
      <c r="M86" s="155"/>
      <c r="N86" s="155"/>
      <c r="O86" s="155"/>
      <c r="P86" s="155"/>
      <c r="Q86" s="152"/>
      <c r="R86" s="152"/>
      <c r="S86" s="155"/>
      <c r="T86" s="152"/>
      <c r="U86" s="152"/>
      <c r="V86" s="152"/>
      <c r="W86" s="152"/>
      <c r="X86" s="152"/>
      <c r="Y86" s="152"/>
      <c r="Z86" s="152"/>
    </row>
    <row r="87" spans="1:26" ht="24.75" customHeight="1">
      <c r="A87" s="170">
        <v>44</v>
      </c>
      <c r="B87" s="167" t="s">
        <v>165</v>
      </c>
      <c r="C87" s="171" t="s">
        <v>166</v>
      </c>
      <c r="D87" s="167" t="s">
        <v>167</v>
      </c>
      <c r="E87" s="167" t="s">
        <v>168</v>
      </c>
      <c r="F87" s="168">
        <f>5*1</f>
        <v>5</v>
      </c>
      <c r="G87" s="169"/>
      <c r="H87" s="169"/>
      <c r="I87" s="169">
        <f aca="true" t="shared" si="11" ref="I87:I93">ROUND(F87*(G87+H87),2)</f>
        <v>0</v>
      </c>
      <c r="J87" s="167">
        <f aca="true" t="shared" si="12" ref="J87:J93">ROUND(F87*(N87),2)</f>
        <v>263</v>
      </c>
      <c r="K87" s="1">
        <f aca="true" t="shared" si="13" ref="K87:K93">ROUND(F87*(O87),2)</f>
        <v>0</v>
      </c>
      <c r="L87" s="1">
        <f>ROUND(F87*(G87),2)</f>
        <v>0</v>
      </c>
      <c r="M87" s="1"/>
      <c r="N87" s="1">
        <v>52.6</v>
      </c>
      <c r="O87" s="1"/>
      <c r="P87" s="166">
        <f>ROUND(F87*(R87),3)</f>
        <v>0.001</v>
      </c>
      <c r="Q87" s="172"/>
      <c r="R87" s="172">
        <v>0.000254706</v>
      </c>
      <c r="S87" s="166"/>
      <c r="Z87">
        <v>0</v>
      </c>
    </row>
    <row r="88" spans="1:26" ht="24.75" customHeight="1">
      <c r="A88" s="170">
        <v>45</v>
      </c>
      <c r="B88" s="167" t="s">
        <v>169</v>
      </c>
      <c r="C88" s="171" t="s">
        <v>170</v>
      </c>
      <c r="D88" s="167" t="s">
        <v>171</v>
      </c>
      <c r="E88" s="167" t="s">
        <v>127</v>
      </c>
      <c r="F88" s="168">
        <f>5*1</f>
        <v>5</v>
      </c>
      <c r="G88" s="169"/>
      <c r="H88" s="169"/>
      <c r="I88" s="169">
        <f t="shared" si="11"/>
        <v>0</v>
      </c>
      <c r="J88" s="167">
        <f t="shared" si="12"/>
        <v>684.65</v>
      </c>
      <c r="K88" s="1">
        <f t="shared" si="13"/>
        <v>0</v>
      </c>
      <c r="L88" s="1">
        <f>ROUND(F88*(G88),2)</f>
        <v>0</v>
      </c>
      <c r="M88" s="1"/>
      <c r="N88" s="1">
        <v>136.93</v>
      </c>
      <c r="O88" s="1"/>
      <c r="P88" s="166"/>
      <c r="Q88" s="172"/>
      <c r="R88" s="172"/>
      <c r="S88" s="166"/>
      <c r="Z88">
        <v>0</v>
      </c>
    </row>
    <row r="89" spans="1:26" ht="34.5" customHeight="1">
      <c r="A89" s="170">
        <v>46</v>
      </c>
      <c r="B89" s="167" t="s">
        <v>169</v>
      </c>
      <c r="C89" s="171" t="s">
        <v>221</v>
      </c>
      <c r="D89" s="167" t="s">
        <v>222</v>
      </c>
      <c r="E89" s="167" t="s">
        <v>157</v>
      </c>
      <c r="F89" s="168">
        <f>5*63.76992</f>
        <v>318.8496</v>
      </c>
      <c r="G89" s="169"/>
      <c r="H89" s="169"/>
      <c r="I89" s="169">
        <f t="shared" si="11"/>
        <v>0</v>
      </c>
      <c r="J89" s="167">
        <f t="shared" si="12"/>
        <v>1115.97</v>
      </c>
      <c r="K89" s="1">
        <f t="shared" si="13"/>
        <v>0</v>
      </c>
      <c r="L89" s="1">
        <f>ROUND(F89*(G89),2)</f>
        <v>0</v>
      </c>
      <c r="M89" s="1"/>
      <c r="N89" s="1">
        <v>3.5</v>
      </c>
      <c r="O89" s="1"/>
      <c r="P89" s="166">
        <f>ROUND(F89*(R89),3)</f>
        <v>0.019</v>
      </c>
      <c r="Q89" s="172"/>
      <c r="R89" s="172">
        <v>6E-05</v>
      </c>
      <c r="S89" s="166"/>
      <c r="Z89">
        <v>0</v>
      </c>
    </row>
    <row r="90" spans="1:26" ht="24.75" customHeight="1">
      <c r="A90" s="170">
        <v>47</v>
      </c>
      <c r="B90" s="167" t="s">
        <v>169</v>
      </c>
      <c r="C90" s="171" t="s">
        <v>172</v>
      </c>
      <c r="D90" s="167" t="s">
        <v>173</v>
      </c>
      <c r="E90" s="167" t="s">
        <v>146</v>
      </c>
      <c r="F90" s="168">
        <f>5*2102.72472</f>
        <v>10513.6236</v>
      </c>
      <c r="G90" s="174"/>
      <c r="H90" s="174"/>
      <c r="I90" s="174">
        <f t="shared" si="11"/>
        <v>0</v>
      </c>
      <c r="J90" s="167">
        <f t="shared" si="12"/>
        <v>105.14</v>
      </c>
      <c r="K90" s="1">
        <f t="shared" si="13"/>
        <v>0</v>
      </c>
      <c r="L90" s="1">
        <f>ROUND(F90*(G90),2)</f>
        <v>0</v>
      </c>
      <c r="M90" s="1"/>
      <c r="N90" s="1">
        <v>0.01</v>
      </c>
      <c r="O90" s="1"/>
      <c r="P90" s="166"/>
      <c r="Q90" s="172"/>
      <c r="R90" s="172"/>
      <c r="S90" s="166"/>
      <c r="Z90">
        <v>0</v>
      </c>
    </row>
    <row r="91" spans="1:26" ht="24.75" customHeight="1">
      <c r="A91" s="170">
        <v>48</v>
      </c>
      <c r="B91" s="167" t="s">
        <v>120</v>
      </c>
      <c r="C91" s="171" t="s">
        <v>174</v>
      </c>
      <c r="D91" s="167" t="s">
        <v>175</v>
      </c>
      <c r="E91" s="167" t="s">
        <v>127</v>
      </c>
      <c r="F91" s="168">
        <f>5*1</f>
        <v>5</v>
      </c>
      <c r="G91" s="169"/>
      <c r="H91" s="169"/>
      <c r="I91" s="169">
        <f t="shared" si="11"/>
        <v>0</v>
      </c>
      <c r="J91" s="167">
        <f t="shared" si="12"/>
        <v>4250</v>
      </c>
      <c r="K91" s="1">
        <f t="shared" si="13"/>
        <v>0</v>
      </c>
      <c r="L91" s="1"/>
      <c r="M91" s="1">
        <f>ROUND(F91*(H91),2)</f>
        <v>0</v>
      </c>
      <c r="N91" s="1">
        <v>850</v>
      </c>
      <c r="O91" s="1"/>
      <c r="P91" s="166"/>
      <c r="Q91" s="172"/>
      <c r="R91" s="172"/>
      <c r="S91" s="166"/>
      <c r="Z91">
        <v>0</v>
      </c>
    </row>
    <row r="92" spans="1:26" ht="24.75" customHeight="1">
      <c r="A92" s="170">
        <v>49</v>
      </c>
      <c r="B92" s="167" t="s">
        <v>147</v>
      </c>
      <c r="C92" s="171" t="s">
        <v>176</v>
      </c>
      <c r="D92" s="167" t="s">
        <v>177</v>
      </c>
      <c r="E92" s="167" t="s">
        <v>127</v>
      </c>
      <c r="F92" s="168">
        <f>5*1</f>
        <v>5</v>
      </c>
      <c r="G92" s="169"/>
      <c r="H92" s="169"/>
      <c r="I92" s="169">
        <f t="shared" si="11"/>
        <v>0</v>
      </c>
      <c r="J92" s="167">
        <f t="shared" si="12"/>
        <v>2700</v>
      </c>
      <c r="K92" s="1">
        <f t="shared" si="13"/>
        <v>0</v>
      </c>
      <c r="L92" s="1"/>
      <c r="M92" s="1">
        <f>ROUND(F92*(H92),2)</f>
        <v>0</v>
      </c>
      <c r="N92" s="1">
        <v>540</v>
      </c>
      <c r="O92" s="1"/>
      <c r="P92" s="166"/>
      <c r="Q92" s="172"/>
      <c r="R92" s="172"/>
      <c r="S92" s="166"/>
      <c r="Z92">
        <v>0</v>
      </c>
    </row>
    <row r="93" spans="1:26" ht="24.75" customHeight="1">
      <c r="A93" s="170">
        <v>50</v>
      </c>
      <c r="B93" s="167" t="s">
        <v>147</v>
      </c>
      <c r="C93" s="171" t="s">
        <v>178</v>
      </c>
      <c r="D93" s="167" t="s">
        <v>179</v>
      </c>
      <c r="E93" s="167" t="s">
        <v>168</v>
      </c>
      <c r="F93" s="168">
        <f>5*1</f>
        <v>5</v>
      </c>
      <c r="G93" s="169"/>
      <c r="H93" s="169"/>
      <c r="I93" s="169">
        <f t="shared" si="11"/>
        <v>0</v>
      </c>
      <c r="J93" s="167">
        <f t="shared" si="12"/>
        <v>1500</v>
      </c>
      <c r="K93" s="1">
        <f t="shared" si="13"/>
        <v>0</v>
      </c>
      <c r="L93" s="1"/>
      <c r="M93" s="1">
        <f>ROUND(F93*(H93),2)</f>
        <v>0</v>
      </c>
      <c r="N93" s="1">
        <v>300</v>
      </c>
      <c r="O93" s="1"/>
      <c r="P93" s="166"/>
      <c r="Q93" s="172"/>
      <c r="R93" s="172"/>
      <c r="S93" s="166"/>
      <c r="Z93">
        <v>0</v>
      </c>
    </row>
    <row r="94" spans="1:26" ht="14.25">
      <c r="A94" s="155"/>
      <c r="B94" s="155"/>
      <c r="C94" s="155"/>
      <c r="D94" s="155" t="s">
        <v>75</v>
      </c>
      <c r="E94" s="155"/>
      <c r="F94" s="166"/>
      <c r="G94" s="158">
        <f>ROUND((SUM(L86:L93))/1,2)</f>
        <v>0</v>
      </c>
      <c r="H94" s="158">
        <f>ROUND((SUM(M86:M93))/1,2)</f>
        <v>0</v>
      </c>
      <c r="I94" s="158">
        <f>ROUND((SUM(I86:I93))/1,2)</f>
        <v>0</v>
      </c>
      <c r="J94" s="155"/>
      <c r="K94" s="155"/>
      <c r="L94" s="155">
        <f>ROUND((SUM(L86:L93))/1,2)</f>
        <v>0</v>
      </c>
      <c r="M94" s="155">
        <f>ROUND((SUM(M86:M93))/1,2)</f>
        <v>0</v>
      </c>
      <c r="N94" s="155"/>
      <c r="O94" s="155"/>
      <c r="P94" s="173">
        <f>ROUND((SUM(P86:P93))/1,2)</f>
        <v>0.02</v>
      </c>
      <c r="Q94" s="152"/>
      <c r="R94" s="152"/>
      <c r="S94" s="173">
        <f>ROUND((SUM(S86:S93))/1,2)</f>
        <v>0</v>
      </c>
      <c r="T94" s="152"/>
      <c r="U94" s="152"/>
      <c r="V94" s="152"/>
      <c r="W94" s="152"/>
      <c r="X94" s="152"/>
      <c r="Y94" s="152"/>
      <c r="Z94" s="152"/>
    </row>
    <row r="95" spans="1:19" ht="14.25">
      <c r="A95" s="1"/>
      <c r="B95" s="1"/>
      <c r="C95" s="1"/>
      <c r="D95" s="1"/>
      <c r="E95" s="1"/>
      <c r="F95" s="162"/>
      <c r="G95" s="148"/>
      <c r="H95" s="148"/>
      <c r="I95" s="148"/>
      <c r="J95" s="1"/>
      <c r="K95" s="1"/>
      <c r="L95" s="1"/>
      <c r="M95" s="1"/>
      <c r="N95" s="1"/>
      <c r="O95" s="1"/>
      <c r="P95" s="1"/>
      <c r="S95" s="1"/>
    </row>
    <row r="96" spans="1:19" ht="14.25">
      <c r="A96" s="155"/>
      <c r="B96" s="155"/>
      <c r="C96" s="155"/>
      <c r="D96" s="2" t="s">
        <v>72</v>
      </c>
      <c r="E96" s="155"/>
      <c r="F96" s="166"/>
      <c r="G96" s="158">
        <f>ROUND((SUM(L60:L95))/2,2)</f>
        <v>0</v>
      </c>
      <c r="H96" s="158">
        <f>ROUND((SUM(M60:M95))/2,2)</f>
        <v>0</v>
      </c>
      <c r="I96" s="158">
        <f>ROUND((SUM(I60:I95))/2,2)</f>
        <v>0</v>
      </c>
      <c r="J96" s="156"/>
      <c r="K96" s="155"/>
      <c r="L96" s="156">
        <f>ROUND((SUM(L60:L95))/2,2)</f>
        <v>0</v>
      </c>
      <c r="M96" s="156">
        <f>ROUND((SUM(M60:M95))/2,2)</f>
        <v>0</v>
      </c>
      <c r="N96" s="155"/>
      <c r="O96" s="155"/>
      <c r="P96" s="173">
        <f>ROUND((SUM(P60:P95))/2,2)</f>
        <v>0.77</v>
      </c>
      <c r="S96" s="173">
        <f>ROUND((SUM(S60:S95))/2,2)</f>
        <v>0</v>
      </c>
    </row>
    <row r="97" spans="1:19" ht="14.25">
      <c r="A97" s="1"/>
      <c r="B97" s="1"/>
      <c r="C97" s="1"/>
      <c r="D97" s="1"/>
      <c r="E97" s="1"/>
      <c r="F97" s="162"/>
      <c r="G97" s="148"/>
      <c r="H97" s="148"/>
      <c r="I97" s="148"/>
      <c r="J97" s="1"/>
      <c r="K97" s="1"/>
      <c r="L97" s="1"/>
      <c r="M97" s="1"/>
      <c r="N97" s="1"/>
      <c r="O97" s="1"/>
      <c r="P97" s="1"/>
      <c r="S97" s="1"/>
    </row>
    <row r="98" spans="1:26" ht="14.25">
      <c r="A98" s="155"/>
      <c r="B98" s="155"/>
      <c r="C98" s="155"/>
      <c r="D98" s="2" t="s">
        <v>76</v>
      </c>
      <c r="E98" s="155"/>
      <c r="F98" s="166"/>
      <c r="G98" s="156"/>
      <c r="H98" s="156"/>
      <c r="I98" s="156"/>
      <c r="J98" s="155"/>
      <c r="K98" s="155"/>
      <c r="L98" s="155"/>
      <c r="M98" s="155"/>
      <c r="N98" s="155"/>
      <c r="O98" s="155"/>
      <c r="P98" s="155"/>
      <c r="Q98" s="152"/>
      <c r="R98" s="152"/>
      <c r="S98" s="155"/>
      <c r="T98" s="152"/>
      <c r="U98" s="152"/>
      <c r="V98" s="152"/>
      <c r="W98" s="152"/>
      <c r="X98" s="152"/>
      <c r="Y98" s="152"/>
      <c r="Z98" s="152"/>
    </row>
    <row r="99" spans="1:26" ht="14.25">
      <c r="A99" s="155"/>
      <c r="B99" s="155"/>
      <c r="C99" s="155"/>
      <c r="D99" s="155" t="s">
        <v>77</v>
      </c>
      <c r="E99" s="155"/>
      <c r="F99" s="166"/>
      <c r="G99" s="156"/>
      <c r="H99" s="156"/>
      <c r="I99" s="156"/>
      <c r="J99" s="155"/>
      <c r="K99" s="155"/>
      <c r="L99" s="155"/>
      <c r="M99" s="155"/>
      <c r="N99" s="155"/>
      <c r="O99" s="155"/>
      <c r="P99" s="155"/>
      <c r="Q99" s="152"/>
      <c r="R99" s="152"/>
      <c r="S99" s="155"/>
      <c r="T99" s="152"/>
      <c r="U99" s="152"/>
      <c r="V99" s="152"/>
      <c r="W99" s="152"/>
      <c r="X99" s="152"/>
      <c r="Y99" s="152"/>
      <c r="Z99" s="152"/>
    </row>
    <row r="100" spans="1:26" ht="24.75" customHeight="1">
      <c r="A100" s="170">
        <v>51</v>
      </c>
      <c r="B100" s="167" t="s">
        <v>180</v>
      </c>
      <c r="C100" s="171" t="s">
        <v>181</v>
      </c>
      <c r="D100" s="167" t="s">
        <v>182</v>
      </c>
      <c r="E100" s="167" t="s">
        <v>183</v>
      </c>
      <c r="F100" s="168">
        <f>5*1</f>
        <v>5</v>
      </c>
      <c r="G100" s="169"/>
      <c r="H100" s="169"/>
      <c r="I100" s="169">
        <f>ROUND(F100*(G100+H100),2)</f>
        <v>0</v>
      </c>
      <c r="J100" s="167">
        <f>ROUND(F100*(N100),2)</f>
        <v>1400</v>
      </c>
      <c r="K100" s="1">
        <f>ROUND(F100*(O100),2)</f>
        <v>0</v>
      </c>
      <c r="L100" s="1">
        <f>ROUND(F100*(G100),2)</f>
        <v>0</v>
      </c>
      <c r="M100" s="1"/>
      <c r="N100" s="1">
        <v>280</v>
      </c>
      <c r="O100" s="1"/>
      <c r="P100" s="166"/>
      <c r="Q100" s="172"/>
      <c r="R100" s="172"/>
      <c r="S100" s="166"/>
      <c r="Z100">
        <v>0</v>
      </c>
    </row>
    <row r="101" spans="1:19" ht="14.25">
      <c r="A101" s="155"/>
      <c r="B101" s="155"/>
      <c r="C101" s="155"/>
      <c r="D101" s="155" t="s">
        <v>77</v>
      </c>
      <c r="E101" s="155"/>
      <c r="F101" s="166"/>
      <c r="G101" s="158">
        <f>ROUND((SUM(L99:L100))/1,2)</f>
        <v>0</v>
      </c>
      <c r="H101" s="158">
        <f>ROUND((SUM(M99:M100))/1,2)</f>
        <v>0</v>
      </c>
      <c r="I101" s="158">
        <f>ROUND((SUM(I99:I100))/1,2)</f>
        <v>0</v>
      </c>
      <c r="J101" s="155"/>
      <c r="K101" s="155"/>
      <c r="L101" s="155">
        <f>ROUND((SUM(L99:L100))/1,2)</f>
        <v>0</v>
      </c>
      <c r="M101" s="155">
        <f>ROUND((SUM(M99:M100))/1,2)</f>
        <v>0</v>
      </c>
      <c r="N101" s="155"/>
      <c r="O101" s="155"/>
      <c r="P101" s="173">
        <f>ROUND((SUM(P99:P100))/1,2)</f>
        <v>0</v>
      </c>
      <c r="S101" s="166">
        <f>ROUND((SUM(S99:S100))/1,2)</f>
        <v>0</v>
      </c>
    </row>
    <row r="102" spans="1:19" ht="14.25">
      <c r="A102" s="1"/>
      <c r="B102" s="1"/>
      <c r="C102" s="1"/>
      <c r="D102" s="1"/>
      <c r="E102" s="1"/>
      <c r="F102" s="162"/>
      <c r="G102" s="148"/>
      <c r="H102" s="148"/>
      <c r="I102" s="148"/>
      <c r="J102" s="1"/>
      <c r="K102" s="1"/>
      <c r="L102" s="1"/>
      <c r="M102" s="1"/>
      <c r="N102" s="1"/>
      <c r="O102" s="1"/>
      <c r="P102" s="1"/>
      <c r="S102" s="1"/>
    </row>
    <row r="103" spans="1:19" ht="14.25">
      <c r="A103" s="155"/>
      <c r="B103" s="155"/>
      <c r="C103" s="155"/>
      <c r="D103" s="2" t="s">
        <v>76</v>
      </c>
      <c r="E103" s="155"/>
      <c r="F103" s="166"/>
      <c r="G103" s="158">
        <f>ROUND((SUM(L98:L102))/2,2)</f>
        <v>0</v>
      </c>
      <c r="H103" s="158">
        <f>ROUND((SUM(M98:M102))/2,2)</f>
        <v>0</v>
      </c>
      <c r="I103" s="158">
        <f>ROUND((SUM(I98:I102))/2,2)</f>
        <v>0</v>
      </c>
      <c r="J103" s="155"/>
      <c r="K103" s="155"/>
      <c r="L103" s="155">
        <f>ROUND((SUM(L98:L102))/2,2)</f>
        <v>0</v>
      </c>
      <c r="M103" s="155">
        <f>ROUND((SUM(M98:M102))/2,2)</f>
        <v>0</v>
      </c>
      <c r="N103" s="155"/>
      <c r="O103" s="155"/>
      <c r="P103" s="173">
        <f>ROUND((SUM(P98:P102))/2,2)</f>
        <v>0</v>
      </c>
      <c r="S103" s="173">
        <f>ROUND((SUM(S98:S102))/2,2)</f>
        <v>0</v>
      </c>
    </row>
    <row r="104" spans="1:26" ht="14.25">
      <c r="A104" s="178" t="s">
        <v>13</v>
      </c>
      <c r="B104" s="175"/>
      <c r="C104" s="175"/>
      <c r="D104" s="175"/>
      <c r="E104" s="175"/>
      <c r="F104" s="176" t="s">
        <v>78</v>
      </c>
      <c r="G104" s="177">
        <f>ROUND((SUM(L9:L103))/3,2)</f>
        <v>0</v>
      </c>
      <c r="H104" s="177">
        <f>ROUND((SUM(M9:M103))/3,2)</f>
        <v>0</v>
      </c>
      <c r="I104" s="177">
        <f>ROUND((SUM(I9:I103))/3,2)</f>
        <v>0</v>
      </c>
      <c r="J104" s="175"/>
      <c r="K104" s="175">
        <f>ROUND((SUM(K9:K103)),2)</f>
        <v>0</v>
      </c>
      <c r="L104" s="175">
        <f>ROUND((SUM(L9:L103))/3,2)</f>
        <v>0</v>
      </c>
      <c r="M104" s="175">
        <f>ROUND((SUM(M9:M103))/3,2)</f>
        <v>0</v>
      </c>
      <c r="N104" s="175"/>
      <c r="O104" s="175"/>
      <c r="P104" s="176">
        <f>ROUND((SUM(P9:P103))/3,2)</f>
        <v>138.52</v>
      </c>
      <c r="S104" s="176">
        <f>ROUND((SUM(S9:S103))/3,2)</f>
        <v>0</v>
      </c>
      <c r="Z104">
        <f>(SUM(Z9:Z103))</f>
        <v>0</v>
      </c>
    </row>
  </sheetData>
  <sheetProtection/>
  <printOptions gridLines="1" horizontalCentered="1"/>
  <pageMargins left="0.011111111111111112" right="0.011111111111111112" top="0.787401575" bottom="0.787401575" header="0.3" footer="0.3"/>
  <pageSetup orientation="portrait" paperSize="9" scale="85" r:id="rId1"/>
  <headerFooter>
    <oddHeader>&amp;C&amp;B&amp; Rozpočet FUTBAL TATRAN ARÉNA V PREŠOVE - GARÁŽE / SO 01 GARÁŽE TYPU B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Dušan Cákoci</cp:lastModifiedBy>
  <dcterms:created xsi:type="dcterms:W3CDTF">2017-09-14T04:23:28Z</dcterms:created>
  <dcterms:modified xsi:type="dcterms:W3CDTF">2018-07-26T04:46:09Z</dcterms:modified>
  <cp:category/>
  <cp:version/>
  <cp:contentType/>
  <cp:contentStatus/>
</cp:coreProperties>
</file>